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Jeff/Desktop/Portfolio/Tip Sheet/"/>
    </mc:Choice>
  </mc:AlternateContent>
  <xr:revisionPtr revIDLastSave="0" documentId="8_{C4D4C930-5AB7-3945-95FF-B6A379F2EADF}" xr6:coauthVersionLast="47" xr6:coauthVersionMax="47" xr10:uidLastSave="{00000000-0000-0000-0000-000000000000}"/>
  <bookViews>
    <workbookView xWindow="0" yWindow="500" windowWidth="26880" windowHeight="16300" xr2:uid="{00000000-000D-0000-FFFF-FFFF00000000}"/>
  </bookViews>
  <sheets>
    <sheet name="02.26-03.03" sheetId="53" r:id="rId1"/>
    <sheet name="Sample" sheetId="52" r:id="rId2"/>
    <sheet name="Final Look" sheetId="28" r:id="rId3"/>
    <sheet name="Template" sheetId="54" r:id="rId4"/>
  </sheets>
  <definedNames>
    <definedName name="a">#REF!</definedName>
    <definedName name="AlcoholTipPercentage" localSheetId="0">'02.26-03.03'!$K$1</definedName>
    <definedName name="AlcoholTipPercentage" localSheetId="2">'Final Look'!$K$1</definedName>
    <definedName name="AlcoholTipPercentage" localSheetId="1">Sample!$K$1</definedName>
    <definedName name="AlcoholTipPercentage" localSheetId="3">Template!$K$1</definedName>
    <definedName name="AlcoholTipPercentage">#REF!</definedName>
    <definedName name="FoodTipPercentage" localSheetId="0">'02.26-03.03'!$L$1</definedName>
    <definedName name="FoodTipPercentage" localSheetId="2">'Final Look'!$L$1</definedName>
    <definedName name="FoodTipPercentage" localSheetId="1">Sample!$L$1</definedName>
    <definedName name="FoodTipPercentage" localSheetId="3">Template!$L$1</definedName>
    <definedName name="FoodTipPercentage">#REF!</definedName>
    <definedName name="FriAlcohol" localSheetId="0">'02.26-03.03'!$AE$2:$AE$19</definedName>
    <definedName name="FriAlcohol" localSheetId="2">'Final Look'!$AE$2:$AE$19</definedName>
    <definedName name="FriAlcohol" localSheetId="1">Sample!$AE$2:$AE$19</definedName>
    <definedName name="FriAlcohol" localSheetId="3">Template!$AE$2:$AE$19</definedName>
    <definedName name="FriAlcohol">#REF!</definedName>
    <definedName name="FriAlcTipout" localSheetId="0">'02.26-03.03'!$AK$2:$AK$19</definedName>
    <definedName name="FriAlcTipout" localSheetId="2">'Final Look'!$AK$2:$AK$19</definedName>
    <definedName name="FriAlcTipout" localSheetId="1">Sample!$AK$2:$AK$19</definedName>
    <definedName name="FriAlcTipout" localSheetId="3">Template!$AK$2:$AK$19</definedName>
    <definedName name="FriAlcTipout">#REF!</definedName>
    <definedName name="FriAMPM" localSheetId="0">'02.26-03.03'!$AG$2:$AG$19</definedName>
    <definedName name="FriAMPM" localSheetId="2">'Final Look'!$AG$2:$AG$19</definedName>
    <definedName name="FriAMPM" localSheetId="1">Sample!$AG$2:$AG$19</definedName>
    <definedName name="FriAMPM" localSheetId="3">Template!$AG$2:$AG$19</definedName>
    <definedName name="FriAMPM">#REF!</definedName>
    <definedName name="FriBarTable" localSheetId="0">'02.26-03.03'!$AA$21:$AB$26</definedName>
    <definedName name="FriBarTable" localSheetId="2">'Final Look'!$AA$21:$AB$26</definedName>
    <definedName name="FriBarTable" localSheetId="1">Sample!$AA$21:$AB$26</definedName>
    <definedName name="FriBarTable" localSheetId="3">Template!$AA$21:$AB$26</definedName>
    <definedName name="FriBarTable">#REF!</definedName>
    <definedName name="Friday" localSheetId="0">'02.26-03.03'!$AA$2:$AJ$19</definedName>
    <definedName name="Friday" localSheetId="2">'Final Look'!$AA$2:$AJ$19</definedName>
    <definedName name="Friday" localSheetId="1">Sample!$AA$2:$AJ$19</definedName>
    <definedName name="Friday" localSheetId="3">Template!$AA$2:$AJ$19</definedName>
    <definedName name="Friday">#REF!</definedName>
    <definedName name="FriFood" localSheetId="0">'02.26-03.03'!$AD$2:$AD$19</definedName>
    <definedName name="FriFood" localSheetId="2">'Final Look'!$AD$2:$AD$19</definedName>
    <definedName name="FriFood" localSheetId="1">Sample!$AD$2:$AD$19</definedName>
    <definedName name="FriFood" localSheetId="3">Template!$AD$2:$AD$19</definedName>
    <definedName name="FriFood">#REF!</definedName>
    <definedName name="FriFoodTable" localSheetId="0">'02.26-03.03'!$AC$21:$AD$26</definedName>
    <definedName name="FriFoodTable" localSheetId="2">'Final Look'!$AC$21:$AD$26</definedName>
    <definedName name="FriFoodTable" localSheetId="1">Sample!$AC$21:$AD$26</definedName>
    <definedName name="FriFoodTable" localSheetId="3">Template!$AC$21:$AD$26</definedName>
    <definedName name="FriFoodTable">#REF!</definedName>
    <definedName name="FriFoodTipout" localSheetId="0">'02.26-03.03'!$AL$2:$AL$19</definedName>
    <definedName name="FriFoodTipout" localSheetId="2">'Final Look'!$AL$2:$AL$19</definedName>
    <definedName name="FriFoodTipout" localSheetId="1">Sample!$AL$2:$AL$19</definedName>
    <definedName name="FriFoodTipout" localSheetId="3">Template!$AL$2:$AL$19</definedName>
    <definedName name="FriFoodTipout">#REF!</definedName>
    <definedName name="FriHostTable" localSheetId="0">'02.26-03.03'!$AE$21:$AF$26</definedName>
    <definedName name="FriHostTable" localSheetId="2">'Final Look'!$AE$21:$AF$26</definedName>
    <definedName name="FriHostTable" localSheetId="1">Sample!$AE$21:$AF$26</definedName>
    <definedName name="FriHostTable" localSheetId="3">Template!$AE$21:$AF$26</definedName>
    <definedName name="FriHostTable">#REF!</definedName>
    <definedName name="FriHostTipout" localSheetId="0">'02.26-03.03'!$AM$2:$AM$19</definedName>
    <definedName name="FriHostTipout" localSheetId="2">'Final Look'!$AM$2:$AM$19</definedName>
    <definedName name="FriHostTipout" localSheetId="1">Sample!$AM$2:$AM$19</definedName>
    <definedName name="FriHostTipout" localSheetId="3">Template!$AM$2:$AM$19</definedName>
    <definedName name="FriHostTipout">#REF!</definedName>
    <definedName name="FriHours" localSheetId="0">'02.26-03.03'!$AB$2:$AB$19</definedName>
    <definedName name="FriHours" localSheetId="2">'Final Look'!$AB$2:$AB$19</definedName>
    <definedName name="FriHours" localSheetId="1">Sample!$AB$2:$AB$19</definedName>
    <definedName name="FriHours" localSheetId="3">Template!$AB$2:$AB$19</definedName>
    <definedName name="FriHours">#REF!</definedName>
    <definedName name="FriJobCode" localSheetId="0">'02.26-03.03'!$AH$2:$AH$19</definedName>
    <definedName name="FriJobCode" localSheetId="2">'Final Look'!$AH$2:$AH$19</definedName>
    <definedName name="FriJobCode" localSheetId="1">Sample!$AH$2:$AH$19</definedName>
    <definedName name="FriJobCode" localSheetId="3">Template!$AH$2:$AH$19</definedName>
    <definedName name="FriJobCode">#REF!</definedName>
    <definedName name="FriNames" localSheetId="0">'02.26-03.03'!$AA$2:$AA$19</definedName>
    <definedName name="FriNames" localSheetId="2">'Final Look'!$AA$2:$AA$19</definedName>
    <definedName name="FriNames" localSheetId="1">Sample!$AA$2:$AA$19</definedName>
    <definedName name="FriNames" localSheetId="3">Template!$AA$2:$AA$19</definedName>
    <definedName name="FriNames">#REF!</definedName>
    <definedName name="FriNetTipout" localSheetId="0">'02.26-03.03'!$AI$2:$AI$19</definedName>
    <definedName name="FriNetTipout" localSheetId="2">'Final Look'!$AI$2:$AI$19</definedName>
    <definedName name="FriNetTipout" localSheetId="1">Sample!$AI$2:$AI$19</definedName>
    <definedName name="FriNetTipout" localSheetId="3">Template!$AI$2:$AI$19</definedName>
    <definedName name="FriNetTipout">#REF!</definedName>
    <definedName name="FriTakeHome" localSheetId="0">'02.26-03.03'!$AJ$2:$AJ$19</definedName>
    <definedName name="FriTakeHome" localSheetId="2">'Final Look'!$AJ$2:$AJ$19</definedName>
    <definedName name="FriTakeHome" localSheetId="1">Sample!$AJ$2:$AJ$19</definedName>
    <definedName name="FriTakeHome" localSheetId="3">Template!$AJ$2:$AJ$19</definedName>
    <definedName name="FriTakeHome">#REF!</definedName>
    <definedName name="FriTips" localSheetId="0">'02.26-03.03'!$AC$2:$AC$19</definedName>
    <definedName name="FriTips" localSheetId="2">'Final Look'!$AC$2:$AC$19</definedName>
    <definedName name="FriTips" localSheetId="1">Sample!$AC$2:$AC$19</definedName>
    <definedName name="FriTips" localSheetId="3">Template!$AC$2:$AC$19</definedName>
    <definedName name="FriTips">#REF!</definedName>
    <definedName name="FriTotal" localSheetId="0">'02.26-03.03'!$AF$2:$AF$19</definedName>
    <definedName name="FriTotal" localSheetId="2">'Final Look'!$AF$2:$AF$19</definedName>
    <definedName name="FriTotal" localSheetId="1">Sample!$AF$2:$AF$19</definedName>
    <definedName name="FriTotal" localSheetId="3">Template!$AF$2:$AF$19</definedName>
    <definedName name="FriTotal">#REF!</definedName>
    <definedName name="HostTipPercentage" localSheetId="0">'02.26-03.03'!$M$1</definedName>
    <definedName name="HostTipPercentage" localSheetId="2">'Final Look'!$M$1</definedName>
    <definedName name="HostTipPercentage" localSheetId="1">Sample!$M$1</definedName>
    <definedName name="HostTipPercentage" localSheetId="3">Template!$M$1</definedName>
    <definedName name="HostTipPercentage">#REF!</definedName>
    <definedName name="MonAlcohol" localSheetId="0">'02.26-03.03'!$E$2:$E$19</definedName>
    <definedName name="MonAlcohol" localSheetId="2">'Final Look'!$E$2:$E$19</definedName>
    <definedName name="MonAlcohol" localSheetId="1">Sample!$E$2:$E$19</definedName>
    <definedName name="MonAlcohol" localSheetId="3">Template!$E$2:$E$19</definedName>
    <definedName name="MonAlcohol">#REF!</definedName>
    <definedName name="MonAlcTipout" localSheetId="0">'02.26-03.03'!$K$2:$K$19</definedName>
    <definedName name="MonAlcTipout" localSheetId="2">'Final Look'!$K$2:$K$19</definedName>
    <definedName name="MonAlcTipout" localSheetId="1">Sample!$K$2:$K$19</definedName>
    <definedName name="MonAlcTipout" localSheetId="3">Template!$K$2:$K$19</definedName>
    <definedName name="MonAlcTipout">#REF!</definedName>
    <definedName name="MonAMPM" localSheetId="0">'02.26-03.03'!$G$2:$G$19</definedName>
    <definedName name="MonAMPM" localSheetId="2">'Final Look'!$G$2:$G$19</definedName>
    <definedName name="MonAMPM" localSheetId="1">Sample!$G$2:$G$19</definedName>
    <definedName name="MonAMPM" localSheetId="3">Template!$G$2:$G$19</definedName>
    <definedName name="MonAMPM">#REF!</definedName>
    <definedName name="MonBarTable" localSheetId="0">'02.26-03.03'!$A$21:$B$26</definedName>
    <definedName name="MonBarTable" localSheetId="2">'Final Look'!$A$21:$B$26</definedName>
    <definedName name="MonBarTable" localSheetId="1">Sample!$A$21:$B$26</definedName>
    <definedName name="MonBarTable" localSheetId="3">Template!$A$21:$B$26</definedName>
    <definedName name="MonBarTable">#REF!</definedName>
    <definedName name="Monday" localSheetId="0">'02.26-03.03'!$A$2:$J$19</definedName>
    <definedName name="Monday" localSheetId="2">'Final Look'!$A$2:$J$19</definedName>
    <definedName name="Monday" localSheetId="1">Sample!$A$2:$J$19</definedName>
    <definedName name="Monday" localSheetId="3">Template!$A$2:$J$19</definedName>
    <definedName name="Monday">#REF!</definedName>
    <definedName name="MonFood" localSheetId="0">'02.26-03.03'!$D$2:$D$19</definedName>
    <definedName name="MonFood" localSheetId="2">'Final Look'!$D$2:$D$19</definedName>
    <definedName name="MonFood" localSheetId="1">Sample!$D$2:$D$19</definedName>
    <definedName name="MonFood" localSheetId="3">Template!$D$2:$D$19</definedName>
    <definedName name="MonFood">#REF!</definedName>
    <definedName name="MonFoodTable" localSheetId="0">'02.26-03.03'!$C$21:$D$26</definedName>
    <definedName name="MonFoodTable" localSheetId="2">'Final Look'!$C$21:$D$26</definedName>
    <definedName name="MonFoodTable" localSheetId="1">Sample!$C$21:$D$26</definedName>
    <definedName name="MonFoodTable" localSheetId="3">Template!$C$21:$D$26</definedName>
    <definedName name="MonFoodTable">#REF!</definedName>
    <definedName name="MonFoodTipout" localSheetId="0">'02.26-03.03'!$L$2:$L$19</definedName>
    <definedName name="MonFoodTipout" localSheetId="2">'Final Look'!$L$2:$L$19</definedName>
    <definedName name="MonFoodTipout" localSheetId="1">Sample!$L$2:$L$19</definedName>
    <definedName name="MonFoodTipout" localSheetId="3">Template!$L$2:$L$19</definedName>
    <definedName name="MonFoodTipout">#REF!</definedName>
    <definedName name="MonHostTable" localSheetId="0">'02.26-03.03'!$E$21:$F$26</definedName>
    <definedName name="MonHostTable" localSheetId="2">'Final Look'!$E$21:$F$26</definedName>
    <definedName name="MonHostTable" localSheetId="1">Sample!$E$21:$F$26</definedName>
    <definedName name="MonHostTable" localSheetId="3">Template!$E$21:$F$26</definedName>
    <definedName name="MonHostTable">#REF!</definedName>
    <definedName name="MonHostTipout" localSheetId="0">'02.26-03.03'!$M$2:$M$19</definedName>
    <definedName name="MonHostTipout" localSheetId="2">'Final Look'!$M$2:$M$19</definedName>
    <definedName name="MonHostTipout" localSheetId="1">Sample!$M$2:$M$19</definedName>
    <definedName name="MonHostTipout" localSheetId="3">Template!$M$2:$M$19</definedName>
    <definedName name="MonHostTipout">#REF!</definedName>
    <definedName name="MonHours" localSheetId="0">'02.26-03.03'!$B$2:$B$19</definedName>
    <definedName name="MonHours" localSheetId="2">'Final Look'!$B$2:$B$19</definedName>
    <definedName name="MonHours" localSheetId="1">Sample!$B$2:$B$19</definedName>
    <definedName name="MonHours" localSheetId="3">Template!$B$2:$B$19</definedName>
    <definedName name="MonHours">#REF!</definedName>
    <definedName name="MonJobCode" localSheetId="0">'02.26-03.03'!$H$2:$H$19</definedName>
    <definedName name="MonJobCode" localSheetId="2">'Final Look'!$H$2:$H$19</definedName>
    <definedName name="MonJobCode" localSheetId="1">Sample!$H$2:$H$19</definedName>
    <definedName name="MonJobCode" localSheetId="3">Template!$H$2:$H$19</definedName>
    <definedName name="MonJobCode">#REF!</definedName>
    <definedName name="MonNames" localSheetId="0">'02.26-03.03'!$A$2:$A$19</definedName>
    <definedName name="MonNames" localSheetId="2">'Final Look'!$A$2:$A$19</definedName>
    <definedName name="MonNames" localSheetId="1">Sample!$A$2:$A$19</definedName>
    <definedName name="MonNames" localSheetId="3">Template!$A$2:$A$19</definedName>
    <definedName name="MonNames">#REF!</definedName>
    <definedName name="MonNetTipout" localSheetId="0">'02.26-03.03'!$I$2:$I$19</definedName>
    <definedName name="MonNetTipout" localSheetId="2">'Final Look'!$I$2:$I$19</definedName>
    <definedName name="MonNetTipout" localSheetId="1">Sample!$I$2:$I$19</definedName>
    <definedName name="MonNetTipout" localSheetId="3">Template!$I$2:$I$19</definedName>
    <definedName name="MonNetTipout">#REF!</definedName>
    <definedName name="MonTakeHome" localSheetId="0">'02.26-03.03'!$J$2:$J$19</definedName>
    <definedName name="MonTakeHome" localSheetId="2">'Final Look'!$J$2:$J$19</definedName>
    <definedName name="MonTakeHome" localSheetId="1">Sample!$J$2:$J$19</definedName>
    <definedName name="MonTakeHome" localSheetId="3">Template!$J$2:$J$19</definedName>
    <definedName name="MonTakeHome">#REF!</definedName>
    <definedName name="MonTips" localSheetId="0">'02.26-03.03'!$C$2:$C$19</definedName>
    <definedName name="MonTips" localSheetId="2">'Final Look'!$C$2:$C$19</definedName>
    <definedName name="MonTips" localSheetId="1">Sample!$C$2:$C$19</definedName>
    <definedName name="MonTips" localSheetId="3">Template!$C$2:$C$19</definedName>
    <definedName name="MonTips">#REF!</definedName>
    <definedName name="MonTotal" localSheetId="0">'02.26-03.03'!$F$2:$F$19</definedName>
    <definedName name="MonTotal" localSheetId="2">'Final Look'!$F$2:$F$19</definedName>
    <definedName name="MonTotal" localSheetId="1">Sample!$F$2:$F$19</definedName>
    <definedName name="MonTotal" localSheetId="3">Template!$F$2:$F$19</definedName>
    <definedName name="MonTotal">#REF!</definedName>
    <definedName name="SatAlcohol" localSheetId="0">'02.26-03.03'!$AE$28:$AE$45</definedName>
    <definedName name="SatAlcohol" localSheetId="2">'Final Look'!$AE$28:$AE$45</definedName>
    <definedName name="SatAlcohol" localSheetId="1">Sample!$AE$28:$AE$45</definedName>
    <definedName name="SatAlcohol" localSheetId="3">Template!$AE$28:$AE$45</definedName>
    <definedName name="SatAlcohol">#REF!</definedName>
    <definedName name="SatAlcTipout" localSheetId="0">'02.26-03.03'!$AK$28:$AK$45</definedName>
    <definedName name="SatAlcTipout" localSheetId="2">'Final Look'!$AK$28:$AK$45</definedName>
    <definedName name="SatAlcTipout" localSheetId="1">Sample!$AK$28:$AK$45</definedName>
    <definedName name="SatAlcTipout" localSheetId="3">Template!$AK$28:$AK$45</definedName>
    <definedName name="SatAlcTipout">#REF!</definedName>
    <definedName name="SatAMPM" localSheetId="0">'02.26-03.03'!$AG$28:$AG$45</definedName>
    <definedName name="SatAMPM" localSheetId="2">'Final Look'!$AG$28:$AG$45</definedName>
    <definedName name="SatAMPM" localSheetId="1">Sample!$AG$28:$AG$45</definedName>
    <definedName name="SatAMPM" localSheetId="3">Template!$AG$28:$AG$45</definedName>
    <definedName name="SatAMPM">#REF!</definedName>
    <definedName name="SatBarTable" localSheetId="0">'02.26-03.03'!$AA$62:$AB$67</definedName>
    <definedName name="SatBarTable" localSheetId="2">'Final Look'!$AA$62:$AB$67</definedName>
    <definedName name="SatBarTable" localSheetId="1">Sample!$AA$62:$AB$67</definedName>
    <definedName name="SatBarTable" localSheetId="3">Template!$AA$62:$AB$67</definedName>
    <definedName name="SatBarTable">#REF!</definedName>
    <definedName name="SatFood" localSheetId="0">'02.26-03.03'!$AD$28:$AD$45</definedName>
    <definedName name="SatFood" localSheetId="2">'Final Look'!$AD$28:$AD$45</definedName>
    <definedName name="SatFood" localSheetId="1">Sample!$AD$28:$AD$45</definedName>
    <definedName name="SatFood" localSheetId="3">Template!$AD$28:$AD$45</definedName>
    <definedName name="SatFood">#REF!</definedName>
    <definedName name="SatFoodTable" localSheetId="0">'02.26-03.03'!$AC$62:$AD$67</definedName>
    <definedName name="SatFoodTable" localSheetId="2">'Final Look'!$AC$62:$AD$67</definedName>
    <definedName name="SatFoodTable" localSheetId="1">Sample!$AC$62:$AD$67</definedName>
    <definedName name="SatFoodTable" localSheetId="3">Template!$AC$62:$AD$67</definedName>
    <definedName name="SatFoodTable">#REF!</definedName>
    <definedName name="SatFoodTipout" localSheetId="0">'02.26-03.03'!$AL$28:$AL$45</definedName>
    <definedName name="SatFoodTipout" localSheetId="2">'Final Look'!$AL$28:$AL$45</definedName>
    <definedName name="SatFoodTipout" localSheetId="1">Sample!$AL$28:$AL$45</definedName>
    <definedName name="SatFoodTipout" localSheetId="3">Template!$AL$28:$AL$45</definedName>
    <definedName name="SatFoodTipout">#REF!</definedName>
    <definedName name="SatHostTable" localSheetId="0">'02.26-03.03'!$AE$62:$AF$67</definedName>
    <definedName name="SatHostTable" localSheetId="2">'Final Look'!$AE$62:$AF$67</definedName>
    <definedName name="SatHostTable" localSheetId="1">Sample!$AE$62:$AF$67</definedName>
    <definedName name="SatHostTable" localSheetId="3">Template!$AE$62:$AF$67</definedName>
    <definedName name="SatHostTable">#REF!</definedName>
    <definedName name="SatHostTipout" localSheetId="0">'02.26-03.03'!$AM$28:$AM$45</definedName>
    <definedName name="SatHostTipout" localSheetId="2">'Final Look'!$AM$28:$AM$45</definedName>
    <definedName name="SatHostTipout" localSheetId="1">Sample!$AM$28:$AM$45</definedName>
    <definedName name="SatHostTipout" localSheetId="3">Template!$AM$28:$AM$45</definedName>
    <definedName name="SatHostTipout">#REF!</definedName>
    <definedName name="SatHours" localSheetId="0">'02.26-03.03'!$AB$28:$AB$45</definedName>
    <definedName name="SatHours" localSheetId="2">'Final Look'!$AB$28:$AB$45</definedName>
    <definedName name="SatHours" localSheetId="1">Sample!$AB$28:$AB$45</definedName>
    <definedName name="SatHours" localSheetId="3">Template!$AB$28:$AB$45</definedName>
    <definedName name="SatHours">#REF!</definedName>
    <definedName name="SatJobCode" localSheetId="0">'02.26-03.03'!$AH$28:$AH$45</definedName>
    <definedName name="SatJobCode" localSheetId="2">'Final Look'!$AH$28:$AH$45</definedName>
    <definedName name="SatJobCode" localSheetId="1">Sample!$AH$28:$AH$45</definedName>
    <definedName name="SatJobCode" localSheetId="3">Template!$AH$28:$AH$45</definedName>
    <definedName name="SatJobCode">#REF!</definedName>
    <definedName name="SatNames" localSheetId="0">'02.26-03.03'!$AA$28:$AA$45</definedName>
    <definedName name="SatNames" localSheetId="2">'Final Look'!$AA$28:$AA$45</definedName>
    <definedName name="SatNames" localSheetId="1">Sample!$AA$28:$AA$45</definedName>
    <definedName name="SatNames" localSheetId="3">Template!$AA$28:$AA$45</definedName>
    <definedName name="SatNames">#REF!</definedName>
    <definedName name="SatNetTipout" localSheetId="0">'02.26-03.03'!$AI$28:$AI$45</definedName>
    <definedName name="SatNetTipout" localSheetId="2">'Final Look'!$AI$28:$AI$45</definedName>
    <definedName name="SatNetTipout" localSheetId="1">Sample!$AI$28:$AI$45</definedName>
    <definedName name="SatNetTipout" localSheetId="3">Template!$AI$28:$AI$45</definedName>
    <definedName name="SatNetTipout">#REF!</definedName>
    <definedName name="SatTakeHome" localSheetId="0">'02.26-03.03'!$AJ$28:$AJ$45</definedName>
    <definedName name="SatTakeHome" localSheetId="2">'Final Look'!$AJ$28:$AJ$45</definedName>
    <definedName name="SatTakeHome" localSheetId="1">Sample!$AJ$28:$AJ$45</definedName>
    <definedName name="SatTakeHome" localSheetId="3">Template!$AJ$28:$AJ$45</definedName>
    <definedName name="SatTakeHome">#REF!</definedName>
    <definedName name="SatTips" localSheetId="0">'02.26-03.03'!$AC$28:$AC$45</definedName>
    <definedName name="SatTips" localSheetId="2">'Final Look'!$AC$28:$AC$45</definedName>
    <definedName name="SatTips" localSheetId="1">Sample!$AC$28:$AC$45</definedName>
    <definedName name="SatTips" localSheetId="3">Template!$AC$28:$AC$45</definedName>
    <definedName name="SatTips">#REF!</definedName>
    <definedName name="SatTotal" localSheetId="0">'02.26-03.03'!$AF$28:$AF$45</definedName>
    <definedName name="SatTotal" localSheetId="2">'Final Look'!$AF$28:$AF$45</definedName>
    <definedName name="SatTotal" localSheetId="1">Sample!$AF$28:$AF$45</definedName>
    <definedName name="SatTotal" localSheetId="3">Template!$AF$28:$AF$45</definedName>
    <definedName name="SatTotal">#REF!</definedName>
    <definedName name="Saturday" localSheetId="0">'02.26-03.03'!$AA$28:$AJ$45</definedName>
    <definedName name="Saturday" localSheetId="2">'Final Look'!$AA$28:$AJ$45</definedName>
    <definedName name="Saturday" localSheetId="1">Sample!$AA$28:$AJ$45</definedName>
    <definedName name="Saturday" localSheetId="3">Template!$AA$28:$AJ$45</definedName>
    <definedName name="Saturday">#REF!</definedName>
    <definedName name="SunAlcohol" localSheetId="0">'02.26-03.03'!$AR$2:$AR$19</definedName>
    <definedName name="SunAlcohol" localSheetId="2">'Final Look'!$AR$2:$AR$19</definedName>
    <definedName name="SunAlcohol" localSheetId="1">Sample!$AR$2:$AR$19</definedName>
    <definedName name="SunAlcohol" localSheetId="3">Template!$AR$2:$AR$19</definedName>
    <definedName name="SunAlcohol">#REF!</definedName>
    <definedName name="SunAlcTipout" localSheetId="0">'02.26-03.03'!$AX$2:$AX$19</definedName>
    <definedName name="SunAlcTipout" localSheetId="2">'Final Look'!$AX$2:$AX$19</definedName>
    <definedName name="SunAlcTipout" localSheetId="1">Sample!$AX$2:$AX$19</definedName>
    <definedName name="SunAlcTipout" localSheetId="3">Template!$AX$2:$AX$19</definedName>
    <definedName name="SunAlcTipout">#REF!</definedName>
    <definedName name="SunAMPM" localSheetId="0">'02.26-03.03'!$AT$2:$AT$19</definedName>
    <definedName name="SunAMPM" localSheetId="2">'Final Look'!$AT$2:$AT$19</definedName>
    <definedName name="SunAMPM" localSheetId="1">Sample!$AT$2:$AT$19</definedName>
    <definedName name="SunAMPM" localSheetId="3">Template!$AT$2:$AT$19</definedName>
    <definedName name="SunAMPM">#REF!</definedName>
    <definedName name="SunBarTable" localSheetId="0">'02.26-03.03'!$AN$21:$AO$26</definedName>
    <definedName name="SunBarTable" localSheetId="2">'Final Look'!$AN$21:$AO$26</definedName>
    <definedName name="SunBarTable" localSheetId="1">Sample!$AN$21:$AO$26</definedName>
    <definedName name="SunBarTable" localSheetId="3">Template!$AN$21:$AO$26</definedName>
    <definedName name="SunBarTable">#REF!</definedName>
    <definedName name="Sunday" localSheetId="0">'02.26-03.03'!$AN$2:$AW$19</definedName>
    <definedName name="Sunday" localSheetId="2">'Final Look'!$AN$2:$AW$19</definedName>
    <definedName name="Sunday" localSheetId="1">Sample!$AN$2:$AW$19</definedName>
    <definedName name="Sunday" localSheetId="3">Template!$AN$2:$AW$19</definedName>
    <definedName name="Sunday">#REF!</definedName>
    <definedName name="SunFood" localSheetId="0">'02.26-03.03'!$AQ$2:$AQ$19</definedName>
    <definedName name="SunFood" localSheetId="2">'Final Look'!$AQ$2:$AQ$19</definedName>
    <definedName name="SunFood" localSheetId="1">Sample!$AQ$2:$AQ$19</definedName>
    <definedName name="SunFood" localSheetId="3">Template!$AQ$2:$AQ$19</definedName>
    <definedName name="SunFood">#REF!</definedName>
    <definedName name="SunFoodTable" localSheetId="0">'02.26-03.03'!$AP$21:$AQ$26</definedName>
    <definedName name="SunFoodTable" localSheetId="2">'Final Look'!$AP$21:$AQ$26</definedName>
    <definedName name="SunFoodTable" localSheetId="1">Sample!$AP$21:$AQ$26</definedName>
    <definedName name="SunFoodTable" localSheetId="3">Template!$AP$21:$AQ$26</definedName>
    <definedName name="SunFoodTable">#REF!</definedName>
    <definedName name="SunFoodTipout" localSheetId="0">'02.26-03.03'!$AY$2:$AY$19</definedName>
    <definedName name="SunFoodTipout" localSheetId="2">'Final Look'!$AY$2:$AY$19</definedName>
    <definedName name="SunFoodTipout" localSheetId="1">Sample!$AY$2:$AY$19</definedName>
    <definedName name="SunFoodTipout" localSheetId="3">Template!$AY$2:$AY$19</definedName>
    <definedName name="SunFoodTipout">#REF!</definedName>
    <definedName name="SunHostTable" localSheetId="0">'02.26-03.03'!$AR$21:$AS$26</definedName>
    <definedName name="SunHostTable" localSheetId="2">'Final Look'!$AR$21:$AS$26</definedName>
    <definedName name="SunHostTable" localSheetId="1">Sample!$AR$21:$AS$26</definedName>
    <definedName name="SunHostTable" localSheetId="3">Template!$AR$21:$AS$26</definedName>
    <definedName name="SunHostTable">#REF!</definedName>
    <definedName name="SunHostTipout" localSheetId="0">'02.26-03.03'!$AZ$2:$AZ$19</definedName>
    <definedName name="SunHostTipout" localSheetId="2">'Final Look'!$AZ$2:$AZ$19</definedName>
    <definedName name="SunHostTipout" localSheetId="1">Sample!$AZ$2:$AZ$19</definedName>
    <definedName name="SunHostTipout" localSheetId="3">Template!$AZ$2:$AZ$19</definedName>
    <definedName name="SunHostTipout">#REF!</definedName>
    <definedName name="SunHours" localSheetId="0">'02.26-03.03'!$AO$2:$AO$19</definedName>
    <definedName name="SunHours" localSheetId="2">'Final Look'!$AO$2:$AO$19</definedName>
    <definedName name="SunHours" localSheetId="1">Sample!$AO$2:$AO$19</definedName>
    <definedName name="SunHours" localSheetId="3">Template!$AO$2:$AO$19</definedName>
    <definedName name="SunHours">#REF!</definedName>
    <definedName name="SunJobCode" localSheetId="0">'02.26-03.03'!$AU$2:$AU$19</definedName>
    <definedName name="SunJobCode" localSheetId="2">'Final Look'!$AU$2:$AU$19</definedName>
    <definedName name="SunJobCode" localSheetId="1">Sample!$AU$2:$AU$19</definedName>
    <definedName name="SunJobCode" localSheetId="3">Template!$AU$2:$AU$19</definedName>
    <definedName name="SunJobCode">#REF!</definedName>
    <definedName name="SunNames" localSheetId="0">'02.26-03.03'!$AN$2:$AN$19</definedName>
    <definedName name="SunNames" localSheetId="2">'Final Look'!$AN$2:$AN$19</definedName>
    <definedName name="SunNames" localSheetId="1">Sample!$AN$2:$AN$19</definedName>
    <definedName name="SunNames" localSheetId="3">Template!$AN$2:$AN$19</definedName>
    <definedName name="SunNames">#REF!</definedName>
    <definedName name="SunNetTipout" localSheetId="0">'02.26-03.03'!$AV$2:$AV$19</definedName>
    <definedName name="SunNetTipout" localSheetId="2">'Final Look'!$AV$2:$AV$19</definedName>
    <definedName name="SunNetTipout" localSheetId="1">Sample!$AV$2:$AV$19</definedName>
    <definedName name="SunNetTipout" localSheetId="3">Template!$AV$2:$AV$19</definedName>
    <definedName name="SunNetTipout">#REF!</definedName>
    <definedName name="SunTakeHome" localSheetId="0">'02.26-03.03'!$AW$2:$AW$19</definedName>
    <definedName name="SunTakeHome" localSheetId="2">'Final Look'!$AW$2:$AW$19</definedName>
    <definedName name="SunTakeHome" localSheetId="1">Sample!$AW$2:$AW$19</definedName>
    <definedName name="SunTakeHome" localSheetId="3">Template!$AW$2:$AW$19</definedName>
    <definedName name="SunTakeHome">#REF!</definedName>
    <definedName name="SunTips" localSheetId="0">'02.26-03.03'!$AP$2:$AP$19</definedName>
    <definedName name="SunTips" localSheetId="2">'Final Look'!$AP$2:$AP$19</definedName>
    <definedName name="SunTips" localSheetId="1">Sample!$AP$2:$AP$19</definedName>
    <definedName name="SunTips" localSheetId="3">Template!$AP$2:$AP$19</definedName>
    <definedName name="SunTips">#REF!</definedName>
    <definedName name="SunTotal" localSheetId="0">'02.26-03.03'!$AS$2:$AS$19</definedName>
    <definedName name="SunTotal" localSheetId="2">'Final Look'!$AS$2:$AS$19</definedName>
    <definedName name="SunTotal" localSheetId="1">Sample!$AS$2:$AS$19</definedName>
    <definedName name="SunTotal" localSheetId="3">Template!$AS$2:$AS$19</definedName>
    <definedName name="SunTotal">#REF!</definedName>
    <definedName name="table1">#REF!</definedName>
    <definedName name="table2">#REF!</definedName>
    <definedName name="table3">#REF!</definedName>
    <definedName name="table5">#REF!</definedName>
    <definedName name="table6">#REF!</definedName>
    <definedName name="ThursAlcohol" localSheetId="0">'02.26-03.03'!$R$28:$R$45</definedName>
    <definedName name="ThursAlcohol" localSheetId="2">'Final Look'!$R$28:$R$45</definedName>
    <definedName name="ThursAlcohol" localSheetId="1">Sample!$R$28:$R$45</definedName>
    <definedName name="ThursAlcohol" localSheetId="3">Template!$R$28:$R$45</definedName>
    <definedName name="ThursAlcohol">#REF!</definedName>
    <definedName name="ThursAlcTipout" localSheetId="0">'02.26-03.03'!$X$28:$X$45</definedName>
    <definedName name="ThursAlcTipout" localSheetId="2">'Final Look'!$X$28:$X$45</definedName>
    <definedName name="ThursAlcTipout" localSheetId="1">Sample!$X$28:$X$45</definedName>
    <definedName name="ThursAlcTipout" localSheetId="3">Template!$X$28:$X$45</definedName>
    <definedName name="ThursAlcTipout">#REF!</definedName>
    <definedName name="ThursAMPM" localSheetId="0">'02.26-03.03'!$T$28:$T$45</definedName>
    <definedName name="ThursAMPM" localSheetId="2">'Final Look'!$T$28:$T$45</definedName>
    <definedName name="ThursAMPM" localSheetId="1">Sample!$T$28:$T$45</definedName>
    <definedName name="ThursAMPM" localSheetId="3">Template!$T$28:$T$45</definedName>
    <definedName name="ThursAMPM">#REF!</definedName>
    <definedName name="ThursBarTable" localSheetId="0">'02.26-03.03'!$N$62:$O$67</definedName>
    <definedName name="ThursBarTable" localSheetId="2">'Final Look'!$N$62:$O$67</definedName>
    <definedName name="ThursBarTable" localSheetId="1">Sample!$N$62:$O$67</definedName>
    <definedName name="ThursBarTable" localSheetId="3">Template!$N$62:$O$67</definedName>
    <definedName name="ThursBarTable">#REF!</definedName>
    <definedName name="Thursday" localSheetId="0">'02.26-03.03'!$N$28:$W$45</definedName>
    <definedName name="Thursday" localSheetId="2">'Final Look'!$N$28:$W$45</definedName>
    <definedName name="Thursday" localSheetId="1">Sample!$N$28:$W$45</definedName>
    <definedName name="Thursday" localSheetId="3">Template!$N$28:$W$45</definedName>
    <definedName name="Thursday">#REF!</definedName>
    <definedName name="ThursFood" localSheetId="0">'02.26-03.03'!$Q$28:$Q$45</definedName>
    <definedName name="ThursFood" localSheetId="2">'Final Look'!$Q$28:$Q$45</definedName>
    <definedName name="ThursFood" localSheetId="1">Sample!$Q$28:$Q$45</definedName>
    <definedName name="ThursFood" localSheetId="3">Template!$Q$28:$Q$45</definedName>
    <definedName name="ThursFood">#REF!</definedName>
    <definedName name="ThursFoodTable" localSheetId="0">'02.26-03.03'!$P$62:$Q$67</definedName>
    <definedName name="ThursFoodTable" localSheetId="2">'Final Look'!$P$62:$Q$67</definedName>
    <definedName name="ThursFoodTable" localSheetId="1">Sample!$P$62:$Q$67</definedName>
    <definedName name="ThursFoodTable" localSheetId="3">Template!$P$62:$Q$67</definedName>
    <definedName name="ThursFoodTable">#REF!</definedName>
    <definedName name="ThursFoodTipout" localSheetId="0">'02.26-03.03'!$Y$28:$Y$45</definedName>
    <definedName name="ThursFoodTipout" localSheetId="2">'Final Look'!$Y$28:$Y$45</definedName>
    <definedName name="ThursFoodTipout" localSheetId="1">Sample!$Y$28:$Y$45</definedName>
    <definedName name="ThursFoodTipout" localSheetId="3">Template!$Y$28:$Y$45</definedName>
    <definedName name="ThursFoodTipout">#REF!</definedName>
    <definedName name="ThursHostTable" localSheetId="0">'02.26-03.03'!$R$62:$S$67</definedName>
    <definedName name="ThursHostTable" localSheetId="2">'Final Look'!$R$62:$S$67</definedName>
    <definedName name="ThursHostTable" localSheetId="1">Sample!$R$62:$S$67</definedName>
    <definedName name="ThursHostTable" localSheetId="3">Template!$R$62:$S$67</definedName>
    <definedName name="ThursHostTable">#REF!</definedName>
    <definedName name="ThursHostTipout" localSheetId="0">'02.26-03.03'!$Z$28:$Z$45</definedName>
    <definedName name="ThursHostTipout" localSheetId="2">'Final Look'!$Z$28:$Z$45</definedName>
    <definedName name="ThursHostTipout" localSheetId="1">Sample!$Z$28:$Z$45</definedName>
    <definedName name="ThursHostTipout" localSheetId="3">Template!$Z$28:$Z$45</definedName>
    <definedName name="ThursHostTipout">#REF!</definedName>
    <definedName name="ThursHours" localSheetId="0">'02.26-03.03'!$O$28:$O$45</definedName>
    <definedName name="ThursHours" localSheetId="2">'Final Look'!$O$28:$O$45</definedName>
    <definedName name="ThursHours" localSheetId="1">Sample!$O$28:$O$45</definedName>
    <definedName name="ThursHours" localSheetId="3">Template!$O$28:$O$45</definedName>
    <definedName name="ThursHours">#REF!</definedName>
    <definedName name="ThursJobCode" localSheetId="0">'02.26-03.03'!$U$28:$U$45</definedName>
    <definedName name="ThursJobCode" localSheetId="2">'Final Look'!$U$28:$U$45</definedName>
    <definedName name="ThursJobCode" localSheetId="1">Sample!$U$28:$U$45</definedName>
    <definedName name="ThursJobCode" localSheetId="3">Template!$U$28:$U$45</definedName>
    <definedName name="ThursJobCode">#REF!</definedName>
    <definedName name="ThursNames" localSheetId="0">'02.26-03.03'!$N$28:$N$45</definedName>
    <definedName name="ThursNames" localSheetId="2">'Final Look'!$N$28:$N$45</definedName>
    <definedName name="ThursNames" localSheetId="1">Sample!$N$28:$N$45</definedName>
    <definedName name="ThursNames" localSheetId="3">Template!$N$28:$N$45</definedName>
    <definedName name="ThursNames">#REF!</definedName>
    <definedName name="ThursNetTipout" localSheetId="0">'02.26-03.03'!$V$28:$V$45</definedName>
    <definedName name="ThursNetTipout" localSheetId="2">'Final Look'!$V$28:$V$45</definedName>
    <definedName name="ThursNetTipout" localSheetId="1">Sample!$V$28:$V$45</definedName>
    <definedName name="ThursNetTipout" localSheetId="3">Template!$V$28:$V$45</definedName>
    <definedName name="ThursNetTipout">#REF!</definedName>
    <definedName name="ThursTakeHome" localSheetId="0">'02.26-03.03'!$W$28:$W$45</definedName>
    <definedName name="ThursTakeHome" localSheetId="2">'Final Look'!$W$28:$W$45</definedName>
    <definedName name="ThursTakeHome" localSheetId="1">Sample!$W$28:$W$45</definedName>
    <definedName name="ThursTakeHome" localSheetId="3">Template!$W$28:$W$45</definedName>
    <definedName name="ThursTakeHome">#REF!</definedName>
    <definedName name="ThursTips" localSheetId="0">'02.26-03.03'!$P$28:$P$45</definedName>
    <definedName name="ThursTips" localSheetId="2">'Final Look'!$P$28:$P$45</definedName>
    <definedName name="ThursTips" localSheetId="1">Sample!$P$28:$P$45</definedName>
    <definedName name="ThursTips" localSheetId="3">Template!$P$28:$P$45</definedName>
    <definedName name="ThursTips">#REF!</definedName>
    <definedName name="ThursTotal" localSheetId="0">'02.26-03.03'!$S$28:$S$45</definedName>
    <definedName name="ThursTotal" localSheetId="2">'Final Look'!$S$28:$S$45</definedName>
    <definedName name="ThursTotal" localSheetId="1">Sample!$S$28:$S$45</definedName>
    <definedName name="ThursTotal" localSheetId="3">Template!$S$28:$S$45</definedName>
    <definedName name="ThursTotal">#REF!</definedName>
    <definedName name="TuesAlcohol" localSheetId="0">'02.26-03.03'!$E$28:$E$45</definedName>
    <definedName name="TuesAlcohol" localSheetId="2">'Final Look'!$E$28:$E$45</definedName>
    <definedName name="TuesAlcohol" localSheetId="1">Sample!$E$28:$E$45</definedName>
    <definedName name="TuesAlcohol" localSheetId="3">Template!$E$28:$E$45</definedName>
    <definedName name="TuesAlcohol">#REF!</definedName>
    <definedName name="TuesAlcTipout" localSheetId="0">'02.26-03.03'!$K$28:$K$45</definedName>
    <definedName name="TuesAlcTipout" localSheetId="2">'Final Look'!$K$28:$K$45</definedName>
    <definedName name="TuesAlcTipout" localSheetId="1">Sample!$K$28:$K$45</definedName>
    <definedName name="TuesAlcTipout" localSheetId="3">Template!$K$28:$K$45</definedName>
    <definedName name="TuesAlcTipout">#REF!</definedName>
    <definedName name="TuesAMPM" localSheetId="0">'02.26-03.03'!$G$28:$G$45</definedName>
    <definedName name="TuesAMPM" localSheetId="2">'Final Look'!$G$28:$G$45</definedName>
    <definedName name="TuesAMPM" localSheetId="1">Sample!$G$28:$G$45</definedName>
    <definedName name="TuesAMPM" localSheetId="3">Template!$G$28:$G$45</definedName>
    <definedName name="TuesAMPM">#REF!</definedName>
    <definedName name="TuesBarTable" localSheetId="0">'02.26-03.03'!$A$62:$B$67</definedName>
    <definedName name="TuesBarTable" localSheetId="2">'Final Look'!$A$62:$B$67</definedName>
    <definedName name="TuesBarTable" localSheetId="1">Sample!$A$62:$B$67</definedName>
    <definedName name="TuesBarTable" localSheetId="3">Template!$A$62:$B$67</definedName>
    <definedName name="TuesBarTable">#REF!</definedName>
    <definedName name="Tuesday" localSheetId="0">'02.26-03.03'!$A$28:$J$45</definedName>
    <definedName name="Tuesday" localSheetId="2">'Final Look'!$A$28:$J$45</definedName>
    <definedName name="Tuesday" localSheetId="1">Sample!$A$28:$J$45</definedName>
    <definedName name="Tuesday" localSheetId="3">Template!$A$28:$J$45</definedName>
    <definedName name="Tuesday">#REF!</definedName>
    <definedName name="TuesFood" localSheetId="0">'02.26-03.03'!$D$28:$D$45</definedName>
    <definedName name="TuesFood" localSheetId="2">'Final Look'!$D$28:$D$45</definedName>
    <definedName name="TuesFood" localSheetId="1">Sample!$D$28:$D$45</definedName>
    <definedName name="TuesFood" localSheetId="3">Template!$D$28:$D$45</definedName>
    <definedName name="TuesFood">#REF!</definedName>
    <definedName name="TuesFoodTable" localSheetId="0">'02.26-03.03'!$C$62:$D$67</definedName>
    <definedName name="TuesFoodTable" localSheetId="2">'Final Look'!$C$62:$D$67</definedName>
    <definedName name="TuesFoodTable" localSheetId="1">Sample!$C$62:$D$67</definedName>
    <definedName name="TuesFoodTable" localSheetId="3">Template!$C$62:$D$67</definedName>
    <definedName name="TuesFoodTable">#REF!</definedName>
    <definedName name="TuesFoodTipout" localSheetId="0">'02.26-03.03'!$L$28:$L$45</definedName>
    <definedName name="TuesFoodTipout" localSheetId="2">'Final Look'!$L$28:$L$45</definedName>
    <definedName name="TuesFoodTipout" localSheetId="1">Sample!$L$28:$L$45</definedName>
    <definedName name="TuesFoodTipout" localSheetId="3">Template!$L$28:$L$45</definedName>
    <definedName name="TuesFoodTipout">#REF!</definedName>
    <definedName name="TuesHostTable" localSheetId="0">'02.26-03.03'!$E$62:$F$67</definedName>
    <definedName name="TuesHostTable" localSheetId="2">'Final Look'!$E$62:$F$67</definedName>
    <definedName name="TuesHostTable" localSheetId="1">Sample!$E$62:$F$67</definedName>
    <definedName name="TuesHostTable" localSheetId="3">Template!$E$62:$F$67</definedName>
    <definedName name="TuesHostTable">#REF!</definedName>
    <definedName name="TuesHostTipout" localSheetId="0">'02.26-03.03'!$M$28:$M$45</definedName>
    <definedName name="TuesHostTipout" localSheetId="2">'Final Look'!$M$28:$M$45</definedName>
    <definedName name="TuesHostTipout" localSheetId="1">Sample!$M$28:$M$45</definedName>
    <definedName name="TuesHostTipout" localSheetId="3">Template!$M$28:$M$45</definedName>
    <definedName name="TuesHostTipout">#REF!</definedName>
    <definedName name="TuesHours" localSheetId="0">'02.26-03.03'!$B$28:$B$45</definedName>
    <definedName name="TuesHours" localSheetId="2">'Final Look'!$B$28:$B$45</definedName>
    <definedName name="TuesHours" localSheetId="1">Sample!$B$28:$B$45</definedName>
    <definedName name="TuesHours" localSheetId="3">Template!$B$28:$B$45</definedName>
    <definedName name="TuesHours">#REF!</definedName>
    <definedName name="TuesJobCode" localSheetId="0">'02.26-03.03'!$H$28:$H$45</definedName>
    <definedName name="TuesJobCode" localSheetId="2">'Final Look'!$H$28:$H$45</definedName>
    <definedName name="TuesJobCode" localSheetId="1">Sample!$H$28:$H$45</definedName>
    <definedName name="TuesJobCode" localSheetId="3">Template!$H$28:$H$45</definedName>
    <definedName name="TuesJobCode">#REF!</definedName>
    <definedName name="TuesName" localSheetId="0">'02.26-03.03'!$A$28:$A$45</definedName>
    <definedName name="TuesName" localSheetId="2">'Final Look'!$A$28:$A$45</definedName>
    <definedName name="TuesName" localSheetId="1">Sample!$A$28:$A$45</definedName>
    <definedName name="TuesName" localSheetId="3">Template!$A$28:$A$45</definedName>
    <definedName name="TuesName">#REF!</definedName>
    <definedName name="TuesNames" localSheetId="0">'02.26-03.03'!$A$28:$A$45</definedName>
    <definedName name="TuesNames" localSheetId="2">'Final Look'!$A$28:$A$45</definedName>
    <definedName name="TuesNames" localSheetId="1">Sample!$A$28:$A$45</definedName>
    <definedName name="TuesNames" localSheetId="3">Template!$A$28:$A$45</definedName>
    <definedName name="TuesNames">#REF!</definedName>
    <definedName name="TuesNetTipout" localSheetId="0">'02.26-03.03'!$I$28:$I$45</definedName>
    <definedName name="TuesNetTipout" localSheetId="2">'Final Look'!$I$28:$I$45</definedName>
    <definedName name="TuesNetTipout" localSheetId="1">Sample!$I$28:$I$45</definedName>
    <definedName name="TuesNetTipout" localSheetId="3">Template!$I$28:$I$45</definedName>
    <definedName name="TuesNetTipout">#REF!</definedName>
    <definedName name="TuesTakeHome" localSheetId="0">'02.26-03.03'!$J$28:$J$45</definedName>
    <definedName name="TuesTakeHome" localSheetId="2">'Final Look'!$J$28:$J$45</definedName>
    <definedName name="TuesTakeHome" localSheetId="1">Sample!$J$28:$J$45</definedName>
    <definedName name="TuesTakeHome" localSheetId="3">Template!$J$28:$J$45</definedName>
    <definedName name="TuesTakeHome">#REF!</definedName>
    <definedName name="TuesTips" localSheetId="0">'02.26-03.03'!$C$28:$C$45</definedName>
    <definedName name="TuesTips" localSheetId="2">'Final Look'!$C$28:$C$45</definedName>
    <definedName name="TuesTips" localSheetId="1">Sample!$C$28:$C$45</definedName>
    <definedName name="TuesTips" localSheetId="3">Template!$C$28:$C$45</definedName>
    <definedName name="TuesTips">#REF!</definedName>
    <definedName name="TuesTotal" localSheetId="0">'02.26-03.03'!$F$28:$F$45</definedName>
    <definedName name="TuesTotal" localSheetId="2">'Final Look'!$F$28:$F$45</definedName>
    <definedName name="TuesTotal" localSheetId="1">Sample!$F$28:$F$45</definedName>
    <definedName name="TuesTotal" localSheetId="3">Template!$F$28:$F$45</definedName>
    <definedName name="TuesTotal">#REF!</definedName>
    <definedName name="WedAlcohol" localSheetId="0">'02.26-03.03'!$R$2:$R$19</definedName>
    <definedName name="WedAlcohol" localSheetId="2">'Final Look'!$R$2:$R$19</definedName>
    <definedName name="WedAlcohol" localSheetId="1">Sample!$R$2:$R$19</definedName>
    <definedName name="WedAlcohol" localSheetId="3">Template!$R$2:$R$19</definedName>
    <definedName name="WedAlcohol">#REF!</definedName>
    <definedName name="WedAlcTipout" localSheetId="0">'02.26-03.03'!$X$2:$X$19</definedName>
    <definedName name="WedAlcTipout" localSheetId="2">'Final Look'!$X$2:$X$19</definedName>
    <definedName name="WedAlcTipout" localSheetId="1">Sample!$X$2:$X$19</definedName>
    <definedName name="WedAlcTipout" localSheetId="3">Template!$X$2:$X$19</definedName>
    <definedName name="WedAlcTipout">#REF!</definedName>
    <definedName name="WedAMPM" localSheetId="0">'02.26-03.03'!$T$2:$T$19</definedName>
    <definedName name="WedAMPM" localSheetId="2">'Final Look'!$T$2:$T$19</definedName>
    <definedName name="WedAMPM" localSheetId="1">Sample!$T$2:$T$19</definedName>
    <definedName name="WedAMPM" localSheetId="3">Template!$T$2:$T$19</definedName>
    <definedName name="WedAMPM">#REF!</definedName>
    <definedName name="WedBarTable" localSheetId="0">'02.26-03.03'!$N$21:$O$26</definedName>
    <definedName name="WedBarTable" localSheetId="2">'Final Look'!$N$21:$O$26</definedName>
    <definedName name="WedBarTable" localSheetId="1">Sample!$N$21:$O$26</definedName>
    <definedName name="WedBarTable" localSheetId="3">Template!$N$21:$O$26</definedName>
    <definedName name="WedBarTable">#REF!</definedName>
    <definedName name="WedFood" localSheetId="0">'02.26-03.03'!$Q$2:$Q$19</definedName>
    <definedName name="WedFood" localSheetId="2">'Final Look'!$Q$2:$Q$19</definedName>
    <definedName name="WedFood" localSheetId="1">Sample!$Q$2:$Q$19</definedName>
    <definedName name="WedFood" localSheetId="3">Template!$Q$2:$Q$19</definedName>
    <definedName name="WedFood">#REF!</definedName>
    <definedName name="WedFoodTable" localSheetId="0">'02.26-03.03'!$P$21:$Q$26</definedName>
    <definedName name="WedFoodTable" localSheetId="2">'Final Look'!$P$21:$Q$26</definedName>
    <definedName name="WedFoodTable" localSheetId="1">Sample!$P$21:$Q$26</definedName>
    <definedName name="WedFoodTable" localSheetId="3">Template!$P$21:$Q$26</definedName>
    <definedName name="WedFoodTable">#REF!</definedName>
    <definedName name="WedFoodTipout" localSheetId="0">'02.26-03.03'!$Y$2:$Y$19</definedName>
    <definedName name="WedFoodTipout" localSheetId="2">'Final Look'!$Y$2:$Y$19</definedName>
    <definedName name="WedFoodTipout" localSheetId="1">Sample!$Y$2:$Y$19</definedName>
    <definedName name="WedFoodTipout" localSheetId="3">Template!$Y$2:$Y$19</definedName>
    <definedName name="WedFoodTipout">#REF!</definedName>
    <definedName name="WedHostTable" localSheetId="0">'02.26-03.03'!$R$21:$S$26</definedName>
    <definedName name="WedHostTable" localSheetId="2">'Final Look'!$R$21:$S$26</definedName>
    <definedName name="WedHostTable" localSheetId="1">Sample!$R$21:$S$26</definedName>
    <definedName name="WedHostTable" localSheetId="3">Template!$R$21:$S$26</definedName>
    <definedName name="WedHostTable">#REF!</definedName>
    <definedName name="WedHostTipout" localSheetId="0">'02.26-03.03'!$Z$2:$Z$19</definedName>
    <definedName name="WedHostTipout" localSheetId="2">'Final Look'!$Z$2:$Z$19</definedName>
    <definedName name="WedHostTipout" localSheetId="1">Sample!$Z$2:$Z$19</definedName>
    <definedName name="WedHostTipout" localSheetId="3">Template!$Z$2:$Z$19</definedName>
    <definedName name="WedHostTipout">#REF!</definedName>
    <definedName name="WedHours" localSheetId="0">'02.26-03.03'!$O$2:$O$19</definedName>
    <definedName name="WedHours" localSheetId="2">'Final Look'!$O$2:$O$19</definedName>
    <definedName name="WedHours" localSheetId="1">Sample!$O$2:$O$19</definedName>
    <definedName name="WedHours" localSheetId="3">Template!$O$2:$O$19</definedName>
    <definedName name="WedHours">#REF!</definedName>
    <definedName name="WedJobCode" localSheetId="0">'02.26-03.03'!$U$2:$U$19</definedName>
    <definedName name="WedJobCode" localSheetId="2">'Final Look'!$U$2:$U$19</definedName>
    <definedName name="WedJobCode" localSheetId="1">Sample!$U$2:$U$19</definedName>
    <definedName name="WedJobCode" localSheetId="3">Template!$U$2:$U$19</definedName>
    <definedName name="WedJobCode">#REF!</definedName>
    <definedName name="WedNames" localSheetId="0">'02.26-03.03'!$N$2:$N$19</definedName>
    <definedName name="WedNames" localSheetId="2">'Final Look'!$N$2:$N$19</definedName>
    <definedName name="WedNames" localSheetId="1">Sample!$N$2:$N$19</definedName>
    <definedName name="WedNames" localSheetId="3">Template!$N$2:$N$19</definedName>
    <definedName name="WedNames">#REF!</definedName>
    <definedName name="Wednesday" localSheetId="0">'02.26-03.03'!$N$2:$W$19</definedName>
    <definedName name="Wednesday" localSheetId="2">'Final Look'!$N$2:$W$19</definedName>
    <definedName name="Wednesday" localSheetId="1">Sample!$N$2:$W$19</definedName>
    <definedName name="Wednesday" localSheetId="3">Template!$N$2:$W$19</definedName>
    <definedName name="Wednesday">#REF!</definedName>
    <definedName name="WedNetTipout" localSheetId="0">'02.26-03.03'!$V$2:$V$19</definedName>
    <definedName name="WedNetTipout" localSheetId="2">'Final Look'!$V$2:$V$19</definedName>
    <definedName name="WedNetTipout" localSheetId="1">Sample!$V$2:$V$19</definedName>
    <definedName name="WedNetTipout" localSheetId="3">Template!$V$2:$V$19</definedName>
    <definedName name="WedNetTipout">#REF!</definedName>
    <definedName name="WedTakeHome" localSheetId="0">'02.26-03.03'!$W$2:$W$19</definedName>
    <definedName name="WedTakeHome" localSheetId="2">'Final Look'!$W$2:$W$19</definedName>
    <definedName name="WedTakeHome" localSheetId="1">Sample!$W$2:$W$19</definedName>
    <definedName name="WedTakeHome" localSheetId="3">Template!$W$2:$W$19</definedName>
    <definedName name="WedTakeHome">#REF!</definedName>
    <definedName name="WedTips" localSheetId="0">'02.26-03.03'!$P$2:$P$19</definedName>
    <definedName name="WedTips" localSheetId="2">'Final Look'!$P$2:$P$19</definedName>
    <definedName name="WedTips" localSheetId="1">Sample!$P$2:$P$19</definedName>
    <definedName name="WedTips" localSheetId="3">Template!$P$2:$P$19</definedName>
    <definedName name="WedTips">#REF!</definedName>
    <definedName name="WedTotal" localSheetId="0">'02.26-03.03'!$S$2:$S$19</definedName>
    <definedName name="WedTotal" localSheetId="2">'Final Look'!$S$2:$S$19</definedName>
    <definedName name="WedTotal" localSheetId="1">Sample!$S$2:$S$19</definedName>
    <definedName name="WedTotal" localSheetId="3">Template!$S$2:$S$19</definedName>
    <definedName name="WedTotal">#REF!</definedName>
    <definedName name="WeeklySummaryTable">#REF!</definedName>
  </definedNames>
  <calcPr calcId="191028" iterate="1" iterateCount="5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9" i="54" l="1"/>
  <c r="AF65" i="54"/>
  <c r="AE65" i="54"/>
  <c r="AD65" i="54"/>
  <c r="AC65" i="54"/>
  <c r="AB65" i="54"/>
  <c r="AA65" i="54"/>
  <c r="O65" i="54"/>
  <c r="N65" i="54"/>
  <c r="B65" i="54"/>
  <c r="A65" i="54"/>
  <c r="AF64" i="54"/>
  <c r="AE64" i="54"/>
  <c r="AB64" i="54"/>
  <c r="AA64" i="54"/>
  <c r="AF63" i="54"/>
  <c r="AE63" i="54"/>
  <c r="AD63" i="54"/>
  <c r="AD64" i="54" s="1"/>
  <c r="AD66" i="54" s="1"/>
  <c r="AC63" i="54"/>
  <c r="AC64" i="54" s="1"/>
  <c r="AC66" i="54" s="1"/>
  <c r="AB63" i="54"/>
  <c r="AA63" i="54"/>
  <c r="S63" i="54"/>
  <c r="R63" i="54"/>
  <c r="Q63" i="54"/>
  <c r="P63" i="54"/>
  <c r="P64" i="54" s="1"/>
  <c r="P66" i="54" s="1"/>
  <c r="Y30" i="54" s="1" a="1"/>
  <c r="Y30" i="54" s="1"/>
  <c r="O63" i="54"/>
  <c r="N63" i="54"/>
  <c r="F63" i="54"/>
  <c r="E63" i="54"/>
  <c r="D63" i="54"/>
  <c r="D64" i="54" s="1"/>
  <c r="D66" i="54" s="1"/>
  <c r="C63" i="54"/>
  <c r="C64" i="54" s="1"/>
  <c r="C66" i="54" s="1"/>
  <c r="B63" i="54"/>
  <c r="A63" i="54"/>
  <c r="AT59" i="54"/>
  <c r="AS59" i="54"/>
  <c r="AR59" i="54"/>
  <c r="AP59" i="54"/>
  <c r="AO59" i="54"/>
  <c r="AT58" i="54"/>
  <c r="AS58" i="54"/>
  <c r="AR58" i="54"/>
  <c r="AP58" i="54"/>
  <c r="AO58" i="54"/>
  <c r="AT57" i="54"/>
  <c r="AS57" i="54"/>
  <c r="AR57" i="54"/>
  <c r="AP57" i="54"/>
  <c r="AO57" i="54"/>
  <c r="AT56" i="54"/>
  <c r="AS56" i="54"/>
  <c r="AR56" i="54"/>
  <c r="AP56" i="54"/>
  <c r="AO56" i="54"/>
  <c r="AT55" i="54"/>
  <c r="AS55" i="54"/>
  <c r="AR55" i="54"/>
  <c r="AP55" i="54"/>
  <c r="AO55" i="54"/>
  <c r="AT54" i="54"/>
  <c r="AS54" i="54"/>
  <c r="AR54" i="54"/>
  <c r="AP54" i="54"/>
  <c r="AO54" i="54"/>
  <c r="AT53" i="54"/>
  <c r="AS53" i="54"/>
  <c r="AR53" i="54"/>
  <c r="AP53" i="54"/>
  <c r="AO53" i="54"/>
  <c r="AT52" i="54"/>
  <c r="AS52" i="54"/>
  <c r="AR52" i="54"/>
  <c r="AP52" i="54"/>
  <c r="AO52" i="54"/>
  <c r="AT51" i="54"/>
  <c r="AS51" i="54"/>
  <c r="AR51" i="54"/>
  <c r="AP51" i="54"/>
  <c r="AO51" i="54"/>
  <c r="AT50" i="54"/>
  <c r="AS50" i="54"/>
  <c r="AR50" i="54"/>
  <c r="AP50" i="54"/>
  <c r="AO50" i="54"/>
  <c r="AT49" i="54"/>
  <c r="AS49" i="54"/>
  <c r="AR49" i="54"/>
  <c r="AP49" i="54"/>
  <c r="AO49" i="54"/>
  <c r="AT48" i="54"/>
  <c r="AS48" i="54"/>
  <c r="AR48" i="54"/>
  <c r="AP48" i="54"/>
  <c r="AO48" i="54"/>
  <c r="AT47" i="54"/>
  <c r="AS47" i="54"/>
  <c r="AR47" i="54"/>
  <c r="AP47" i="54"/>
  <c r="AO47" i="54"/>
  <c r="AT46" i="54"/>
  <c r="AS46" i="54"/>
  <c r="AR46" i="54"/>
  <c r="AP46" i="54"/>
  <c r="AO46" i="54"/>
  <c r="AT45" i="54"/>
  <c r="AS45" i="54"/>
  <c r="AR45" i="54"/>
  <c r="AP45" i="54"/>
  <c r="AO45" i="54"/>
  <c r="AL45" i="54" a="1"/>
  <c r="AL45" i="54" s="1"/>
  <c r="AK45" i="54"/>
  <c r="AF45" i="54"/>
  <c r="AM45" i="54" s="1" a="1"/>
  <c r="AM45" i="54" s="1"/>
  <c r="Y45" i="54" a="1"/>
  <c r="Y45" i="54" s="1"/>
  <c r="X45" i="54"/>
  <c r="S45" i="54"/>
  <c r="Z45" i="54" s="1" a="1"/>
  <c r="Z45" i="54" s="1"/>
  <c r="L45" i="54" a="1"/>
  <c r="L45" i="54" s="1"/>
  <c r="K45" i="54"/>
  <c r="F45" i="54"/>
  <c r="M45" i="54" s="1" a="1"/>
  <c r="M45" i="54" s="1"/>
  <c r="AT44" i="54"/>
  <c r="AS44" i="54"/>
  <c r="AR44" i="54"/>
  <c r="AP44" i="54"/>
  <c r="AO44" i="54"/>
  <c r="AM44" i="54" a="1"/>
  <c r="AM44" i="54" s="1"/>
  <c r="AL44" i="54" a="1"/>
  <c r="AL44" i="54" s="1"/>
  <c r="AK44" i="54"/>
  <c r="AF44" i="54"/>
  <c r="Y44" i="54" a="1"/>
  <c r="Y44" i="54" s="1"/>
  <c r="X44" i="54"/>
  <c r="S44" i="54"/>
  <c r="Z44" i="54" s="1" a="1"/>
  <c r="Z44" i="54" s="1"/>
  <c r="M44" i="54" a="1"/>
  <c r="M44" i="54" s="1"/>
  <c r="L44" i="54" a="1"/>
  <c r="L44" i="54" s="1"/>
  <c r="K44" i="54"/>
  <c r="F44" i="54"/>
  <c r="AT43" i="54"/>
  <c r="AS43" i="54"/>
  <c r="AR43" i="54"/>
  <c r="AP43" i="54"/>
  <c r="AO43" i="54"/>
  <c r="AM43" i="54" a="1"/>
  <c r="AM43" i="54" s="1"/>
  <c r="AL43" i="54" a="1"/>
  <c r="AL43" i="54" s="1"/>
  <c r="AK43" i="54"/>
  <c r="AF43" i="54"/>
  <c r="Y43" i="54" a="1"/>
  <c r="Y43" i="54" s="1"/>
  <c r="X43" i="54"/>
  <c r="S43" i="54"/>
  <c r="Z43" i="54" s="1" a="1"/>
  <c r="Z43" i="54" s="1"/>
  <c r="L43" i="54" a="1"/>
  <c r="L43" i="54" s="1"/>
  <c r="K43" i="54"/>
  <c r="F43" i="54"/>
  <c r="M43" i="54" s="1" a="1"/>
  <c r="M43" i="54" s="1"/>
  <c r="AT42" i="54"/>
  <c r="AS42" i="54"/>
  <c r="AR42" i="54"/>
  <c r="AP42" i="54"/>
  <c r="AO42" i="54"/>
  <c r="AM42" i="54" a="1"/>
  <c r="AM42" i="54" s="1"/>
  <c r="AL42" i="54" a="1"/>
  <c r="AL42" i="54" s="1"/>
  <c r="AK42" i="54"/>
  <c r="AF42" i="54"/>
  <c r="Y42" i="54" a="1"/>
  <c r="Y42" i="54" s="1"/>
  <c r="X42" i="54"/>
  <c r="S42" i="54"/>
  <c r="Z42" i="54" s="1" a="1"/>
  <c r="Z42" i="54" s="1"/>
  <c r="L42" i="54" a="1"/>
  <c r="L42" i="54" s="1"/>
  <c r="K42" i="54"/>
  <c r="F42" i="54"/>
  <c r="M42" i="54" s="1" a="1"/>
  <c r="M42" i="54" s="1"/>
  <c r="AT41" i="54"/>
  <c r="AS41" i="54"/>
  <c r="AR41" i="54"/>
  <c r="AP41" i="54"/>
  <c r="AO41" i="54"/>
  <c r="AM41" i="54" a="1"/>
  <c r="AM41" i="54" s="1"/>
  <c r="AL41" i="54" a="1"/>
  <c r="AL41" i="54" s="1"/>
  <c r="AK41" i="54"/>
  <c r="AF41" i="54"/>
  <c r="Y41" i="54" a="1"/>
  <c r="Y41" i="54" s="1"/>
  <c r="X41" i="54"/>
  <c r="S41" i="54"/>
  <c r="Z41" i="54" s="1" a="1"/>
  <c r="Z41" i="54" s="1"/>
  <c r="M41" i="54" a="1"/>
  <c r="M41" i="54" s="1"/>
  <c r="L41" i="54" a="1"/>
  <c r="L41" i="54" s="1"/>
  <c r="K41" i="54"/>
  <c r="F41" i="54"/>
  <c r="AT40" i="54"/>
  <c r="AS40" i="54"/>
  <c r="AR40" i="54"/>
  <c r="AP40" i="54"/>
  <c r="AO40" i="54"/>
  <c r="AL40" i="54" a="1"/>
  <c r="AL40" i="54" s="1"/>
  <c r="AK40" i="54"/>
  <c r="AF40" i="54"/>
  <c r="AM40" i="54" s="1" a="1"/>
  <c r="AM40" i="54" s="1"/>
  <c r="Y40" i="54" a="1"/>
  <c r="Y40" i="54" s="1"/>
  <c r="X40" i="54"/>
  <c r="S40" i="54"/>
  <c r="Z40" i="54" s="1" a="1"/>
  <c r="Z40" i="54" s="1"/>
  <c r="L40" i="54" a="1"/>
  <c r="L40" i="54" s="1"/>
  <c r="K40" i="54"/>
  <c r="F40" i="54"/>
  <c r="M40" i="54" s="1" a="1"/>
  <c r="M40" i="54" s="1"/>
  <c r="AS39" i="54"/>
  <c r="AR39" i="54"/>
  <c r="AO39" i="54"/>
  <c r="AL39" i="54" a="1"/>
  <c r="AL39" i="54" s="1"/>
  <c r="AK39" i="54"/>
  <c r="AF39" i="54"/>
  <c r="AM39" i="54" s="1" a="1"/>
  <c r="AM39" i="54" s="1"/>
  <c r="Y39" i="54" a="1"/>
  <c r="Y39" i="54" s="1"/>
  <c r="X39" i="54"/>
  <c r="S39" i="54"/>
  <c r="Z39" i="54" s="1" a="1"/>
  <c r="Z39" i="54" s="1"/>
  <c r="M39" i="54" a="1"/>
  <c r="M39" i="54" s="1"/>
  <c r="L39" i="54" a="1"/>
  <c r="L39" i="54" s="1"/>
  <c r="K39" i="54"/>
  <c r="F39" i="54"/>
  <c r="AS38" i="54"/>
  <c r="AR38" i="54"/>
  <c r="AO38" i="54"/>
  <c r="AL38" i="54" a="1"/>
  <c r="AL38" i="54" s="1"/>
  <c r="AK38" i="54"/>
  <c r="AF38" i="54"/>
  <c r="AM38" i="54" s="1" a="1"/>
  <c r="AM38" i="54" s="1"/>
  <c r="Z38" i="54" a="1"/>
  <c r="Z38" i="54" s="1"/>
  <c r="Y38" i="54" a="1"/>
  <c r="Y38" i="54" s="1"/>
  <c r="X38" i="54"/>
  <c r="S38" i="54"/>
  <c r="L38" i="54" a="1"/>
  <c r="L38" i="54" s="1"/>
  <c r="K38" i="54"/>
  <c r="F38" i="54"/>
  <c r="M38" i="54" s="1" a="1"/>
  <c r="M38" i="54" s="1"/>
  <c r="AS37" i="54"/>
  <c r="AR37" i="54"/>
  <c r="AO37" i="54"/>
  <c r="AM37" i="54" a="1"/>
  <c r="AM37" i="54" s="1"/>
  <c r="AL37" i="54" a="1"/>
  <c r="AL37" i="54" s="1"/>
  <c r="AK37" i="54"/>
  <c r="AF37" i="54"/>
  <c r="Y37" i="54" a="1"/>
  <c r="Y37" i="54" s="1"/>
  <c r="X37" i="54"/>
  <c r="S37" i="54"/>
  <c r="Z37" i="54" s="1" a="1"/>
  <c r="Z37" i="54" s="1"/>
  <c r="L37" i="54" a="1"/>
  <c r="L37" i="54" s="1"/>
  <c r="K37" i="54"/>
  <c r="F37" i="54"/>
  <c r="M37" i="54" s="1" a="1"/>
  <c r="M37" i="54" s="1"/>
  <c r="AS36" i="54"/>
  <c r="AR36" i="54"/>
  <c r="AO36" i="54"/>
  <c r="AL36" i="54" a="1"/>
  <c r="AL36" i="54" s="1"/>
  <c r="AK36" i="54"/>
  <c r="AF36" i="54"/>
  <c r="AM36" i="54" s="1" a="1"/>
  <c r="AM36" i="54" s="1"/>
  <c r="Y36" i="54" a="1"/>
  <c r="Y36" i="54" s="1"/>
  <c r="X36" i="54"/>
  <c r="S36" i="54"/>
  <c r="Z36" i="54" s="1" a="1"/>
  <c r="Z36" i="54" s="1"/>
  <c r="K36" i="54"/>
  <c r="F36" i="54"/>
  <c r="AS35" i="54"/>
  <c r="AR35" i="54"/>
  <c r="AO35" i="54"/>
  <c r="AL35" i="54" a="1"/>
  <c r="AL35" i="54" s="1"/>
  <c r="AK35" i="54"/>
  <c r="AF35" i="54"/>
  <c r="AM35" i="54" s="1" a="1"/>
  <c r="AM35" i="54" s="1"/>
  <c r="X35" i="54"/>
  <c r="S35" i="54"/>
  <c r="K35" i="54"/>
  <c r="F35" i="54"/>
  <c r="AS34" i="54"/>
  <c r="AR34" i="54"/>
  <c r="AO34" i="54"/>
  <c r="AM34" i="54" a="1"/>
  <c r="AM34" i="54" s="1"/>
  <c r="AL34" i="54" a="1"/>
  <c r="AL34" i="54" s="1"/>
  <c r="AK34" i="54"/>
  <c r="AF34" i="54"/>
  <c r="X34" i="54"/>
  <c r="S34" i="54"/>
  <c r="K34" i="54"/>
  <c r="F34" i="54"/>
  <c r="AS33" i="54"/>
  <c r="AR33" i="54"/>
  <c r="AO33" i="54"/>
  <c r="AL33" i="54" a="1"/>
  <c r="AL33" i="54" s="1"/>
  <c r="AK33" i="54"/>
  <c r="AF33" i="54"/>
  <c r="AM33" i="54" s="1" a="1"/>
  <c r="AM33" i="54" s="1"/>
  <c r="S33" i="54"/>
  <c r="F33" i="54"/>
  <c r="AS32" i="54"/>
  <c r="AR32" i="54"/>
  <c r="AO32" i="54"/>
  <c r="AL32" i="54" a="1"/>
  <c r="AL32" i="54" s="1"/>
  <c r="AK32" i="54"/>
  <c r="AF32" i="54"/>
  <c r="AM32" i="54" s="1" a="1"/>
  <c r="AM32" i="54" s="1"/>
  <c r="X32" i="54"/>
  <c r="S32" i="54"/>
  <c r="K32" i="54"/>
  <c r="F32" i="54"/>
  <c r="AS31" i="54"/>
  <c r="AR31" i="54"/>
  <c r="AO31" i="54"/>
  <c r="AM31" i="54" a="1"/>
  <c r="AM31" i="54" s="1"/>
  <c r="AL31" i="54" a="1"/>
  <c r="AL31" i="54" s="1"/>
  <c r="AK31" i="54"/>
  <c r="AF31" i="54"/>
  <c r="Y31" i="54" a="1"/>
  <c r="Y31" i="54" s="1"/>
  <c r="X31" i="54"/>
  <c r="S31" i="54"/>
  <c r="K31" i="54"/>
  <c r="F31" i="54"/>
  <c r="AS30" i="54"/>
  <c r="AR30" i="54"/>
  <c r="AO30" i="54"/>
  <c r="AL30" i="54" a="1"/>
  <c r="AL30" i="54" s="1"/>
  <c r="AK30" i="54"/>
  <c r="AF30" i="54"/>
  <c r="AM30" i="54" s="1" a="1"/>
  <c r="AM30" i="54" s="1"/>
  <c r="X30" i="54"/>
  <c r="S30" i="54"/>
  <c r="K30" i="54"/>
  <c r="F30" i="54"/>
  <c r="AS29" i="54"/>
  <c r="AR29" i="54"/>
  <c r="AO29" i="54"/>
  <c r="AL29" i="54" a="1"/>
  <c r="AL29" i="54" s="1"/>
  <c r="AK29" i="54"/>
  <c r="AF29" i="54"/>
  <c r="AM29" i="54" s="1" a="1"/>
  <c r="AM29" i="54" s="1"/>
  <c r="Y29" i="54" a="1"/>
  <c r="Y29" i="54" s="1"/>
  <c r="S29" i="54"/>
  <c r="F29" i="54"/>
  <c r="AA27" i="54"/>
  <c r="AB27" i="54" s="1"/>
  <c r="N27" i="54"/>
  <c r="O27" i="54" s="1"/>
  <c r="A27" i="54"/>
  <c r="B27" i="54" s="1"/>
  <c r="AO24" i="54"/>
  <c r="AN24" i="54"/>
  <c r="AB24" i="54"/>
  <c r="AA24" i="54"/>
  <c r="O24" i="54"/>
  <c r="N24" i="54"/>
  <c r="B24" i="54"/>
  <c r="A24" i="54"/>
  <c r="AS22" i="54"/>
  <c r="AR22" i="54"/>
  <c r="AQ22" i="54"/>
  <c r="AP22" i="54"/>
  <c r="AO22" i="54"/>
  <c r="AN22" i="54"/>
  <c r="AF22" i="54"/>
  <c r="AE22" i="54"/>
  <c r="AD22" i="54"/>
  <c r="AC22" i="54"/>
  <c r="AC23" i="54" s="1"/>
  <c r="AC25" i="54" s="1"/>
  <c r="AB22" i="54"/>
  <c r="AA22" i="54"/>
  <c r="S22" i="54"/>
  <c r="R22" i="54"/>
  <c r="Q22" i="54"/>
  <c r="P22" i="54"/>
  <c r="P23" i="54" s="1"/>
  <c r="P25" i="54" s="1"/>
  <c r="O22" i="54"/>
  <c r="N22" i="54"/>
  <c r="F22" i="54"/>
  <c r="E22" i="54"/>
  <c r="D22" i="54"/>
  <c r="D23" i="54" s="1"/>
  <c r="D25" i="54" s="1"/>
  <c r="L6" i="54" s="1" a="1"/>
  <c r="L6" i="54" s="1"/>
  <c r="C22" i="54"/>
  <c r="C23" i="54" s="1"/>
  <c r="C25" i="54" s="1"/>
  <c r="B22" i="54"/>
  <c r="A22" i="54"/>
  <c r="AY19" i="54" a="1"/>
  <c r="AY19" i="54" s="1"/>
  <c r="AX19" i="54"/>
  <c r="AS19" i="54"/>
  <c r="AZ19" i="54" s="1" a="1"/>
  <c r="AZ19" i="54" s="1"/>
  <c r="AL19" i="54" a="1"/>
  <c r="AL19" i="54" s="1"/>
  <c r="AK19" i="54"/>
  <c r="AF19" i="54"/>
  <c r="AM19" i="54" s="1" a="1"/>
  <c r="AM19" i="54" s="1"/>
  <c r="Y19" i="54" a="1"/>
  <c r="Y19" i="54" s="1"/>
  <c r="X19" i="54"/>
  <c r="S19" i="54"/>
  <c r="Z19" i="54" s="1" a="1"/>
  <c r="Z19" i="54" s="1"/>
  <c r="L19" i="54" a="1"/>
  <c r="L19" i="54" s="1"/>
  <c r="K19" i="54"/>
  <c r="F19" i="54"/>
  <c r="M19" i="54" s="1" a="1"/>
  <c r="M19" i="54" s="1"/>
  <c r="AY18" i="54" a="1"/>
  <c r="AY18" i="54" s="1"/>
  <c r="AX18" i="54"/>
  <c r="AS18" i="54"/>
  <c r="AZ18" i="54" s="1" a="1"/>
  <c r="AZ18" i="54" s="1"/>
  <c r="AL18" i="54" a="1"/>
  <c r="AL18" i="54" s="1"/>
  <c r="AK18" i="54"/>
  <c r="AF18" i="54"/>
  <c r="AM18" i="54" s="1" a="1"/>
  <c r="AM18" i="54" s="1"/>
  <c r="Y18" i="54" a="1"/>
  <c r="Y18" i="54" s="1"/>
  <c r="X18" i="54"/>
  <c r="S18" i="54"/>
  <c r="Z18" i="54" s="1" a="1"/>
  <c r="Z18" i="54" s="1"/>
  <c r="L18" i="54" a="1"/>
  <c r="L18" i="54" s="1"/>
  <c r="K18" i="54"/>
  <c r="F18" i="54"/>
  <c r="M18" i="54" s="1" a="1"/>
  <c r="M18" i="54" s="1"/>
  <c r="AZ17" i="54" a="1"/>
  <c r="AZ17" i="54" s="1"/>
  <c r="AY17" i="54" a="1"/>
  <c r="AY17" i="54" s="1"/>
  <c r="AX17" i="54"/>
  <c r="AS17" i="54"/>
  <c r="AM17" i="54" a="1"/>
  <c r="AM17" i="54" s="1"/>
  <c r="AL17" i="54" a="1"/>
  <c r="AL17" i="54" s="1"/>
  <c r="AK17" i="54"/>
  <c r="AF17" i="54"/>
  <c r="Y17" i="54" a="1"/>
  <c r="Y17" i="54" s="1"/>
  <c r="X17" i="54"/>
  <c r="S17" i="54"/>
  <c r="Z17" i="54" s="1" a="1"/>
  <c r="Z17" i="54" s="1"/>
  <c r="L17" i="54" a="1"/>
  <c r="L17" i="54" s="1"/>
  <c r="K17" i="54"/>
  <c r="F17" i="54"/>
  <c r="M17" i="54" s="1" a="1"/>
  <c r="M17" i="54" s="1"/>
  <c r="AZ16" i="54" a="1"/>
  <c r="AZ16" i="54" s="1"/>
  <c r="AY16" i="54" a="1"/>
  <c r="AY16" i="54" s="1"/>
  <c r="AX16" i="54"/>
  <c r="AS16" i="54"/>
  <c r="AM16" i="54" a="1"/>
  <c r="AM16" i="54" s="1"/>
  <c r="AL16" i="54" a="1"/>
  <c r="AL16" i="54" s="1"/>
  <c r="AK16" i="54"/>
  <c r="AF16" i="54"/>
  <c r="Y16" i="54" a="1"/>
  <c r="Y16" i="54" s="1"/>
  <c r="X16" i="54"/>
  <c r="S16" i="54"/>
  <c r="Z16" i="54" s="1" a="1"/>
  <c r="Z16" i="54" s="1"/>
  <c r="L16" i="54" a="1"/>
  <c r="L16" i="54" s="1"/>
  <c r="K16" i="54"/>
  <c r="F16" i="54"/>
  <c r="M16" i="54" s="1" a="1"/>
  <c r="M16" i="54" s="1"/>
  <c r="AY15" i="54" a="1"/>
  <c r="AY15" i="54" s="1"/>
  <c r="AX15" i="54"/>
  <c r="AS15" i="54"/>
  <c r="AZ15" i="54" s="1" a="1"/>
  <c r="AZ15" i="54" s="1"/>
  <c r="AM15" i="54" a="1"/>
  <c r="AM15" i="54" s="1"/>
  <c r="AL15" i="54" a="1"/>
  <c r="AL15" i="54" s="1"/>
  <c r="AK15" i="54"/>
  <c r="AF15" i="54"/>
  <c r="Y15" i="54" a="1"/>
  <c r="Y15" i="54" s="1"/>
  <c r="X15" i="54"/>
  <c r="S15" i="54"/>
  <c r="Z15" i="54" s="1" a="1"/>
  <c r="Z15" i="54" s="1"/>
  <c r="M15" i="54" a="1"/>
  <c r="M15" i="54" s="1"/>
  <c r="L15" i="54" a="1"/>
  <c r="L15" i="54" s="1"/>
  <c r="K15" i="54"/>
  <c r="F15" i="54"/>
  <c r="AZ14" i="54" a="1"/>
  <c r="AZ14" i="54" s="1"/>
  <c r="AY14" i="54" a="1"/>
  <c r="AY14" i="54" s="1"/>
  <c r="AX14" i="54"/>
  <c r="AS14" i="54"/>
  <c r="AK14" i="54"/>
  <c r="AF14" i="54"/>
  <c r="Z14" i="54" a="1"/>
  <c r="Z14" i="54" s="1"/>
  <c r="Y14" i="54" a="1"/>
  <c r="Y14" i="54" s="1"/>
  <c r="X14" i="54"/>
  <c r="S14" i="54"/>
  <c r="L14" i="54" a="1"/>
  <c r="L14" i="54" s="1"/>
  <c r="K14" i="54"/>
  <c r="F14" i="54"/>
  <c r="M14" i="54" s="1" a="1"/>
  <c r="M14" i="54" s="1"/>
  <c r="AY13" i="54" a="1"/>
  <c r="AY13" i="54" s="1"/>
  <c r="AX13" i="54"/>
  <c r="AS13" i="54"/>
  <c r="AZ13" i="54" s="1" a="1"/>
  <c r="AZ13" i="54" s="1"/>
  <c r="AK13" i="54"/>
  <c r="AF13" i="54"/>
  <c r="X13" i="54"/>
  <c r="S13" i="54"/>
  <c r="L13" i="54" a="1"/>
  <c r="L13" i="54" s="1"/>
  <c r="K13" i="54"/>
  <c r="F13" i="54"/>
  <c r="M13" i="54" s="1" a="1"/>
  <c r="M13" i="54" s="1"/>
  <c r="AY12" i="54" a="1"/>
  <c r="AY12" i="54" s="1"/>
  <c r="AX12" i="54"/>
  <c r="AS12" i="54"/>
  <c r="AZ12" i="54" s="1" a="1"/>
  <c r="AZ12" i="54" s="1"/>
  <c r="AK12" i="54"/>
  <c r="AF12" i="54"/>
  <c r="X12" i="54"/>
  <c r="S12" i="54"/>
  <c r="L12" i="54" a="1"/>
  <c r="L12" i="54" s="1"/>
  <c r="K12" i="54"/>
  <c r="F12" i="54"/>
  <c r="M12" i="54" s="1" a="1"/>
  <c r="M12" i="54" s="1"/>
  <c r="AZ11" i="54" a="1"/>
  <c r="AZ11" i="54" s="1"/>
  <c r="AY11" i="54" a="1"/>
  <c r="AY11" i="54" s="1"/>
  <c r="AX11" i="54"/>
  <c r="AS11" i="54"/>
  <c r="AK11" i="54"/>
  <c r="AF11" i="54"/>
  <c r="X11" i="54"/>
  <c r="S11" i="54"/>
  <c r="L11" i="54" a="1"/>
  <c r="L11" i="54" s="1"/>
  <c r="K11" i="54"/>
  <c r="F11" i="54"/>
  <c r="M11" i="54" s="1" a="1"/>
  <c r="M11" i="54" s="1"/>
  <c r="AY10" i="54" a="1"/>
  <c r="AY10" i="54" s="1"/>
  <c r="AX10" i="54"/>
  <c r="AS10" i="54"/>
  <c r="AZ10" i="54" s="1" a="1"/>
  <c r="AZ10" i="54" s="1"/>
  <c r="AK10" i="54"/>
  <c r="AF10" i="54"/>
  <c r="X10" i="54"/>
  <c r="S10" i="54"/>
  <c r="L10" i="54" a="1"/>
  <c r="L10" i="54" s="1"/>
  <c r="K10" i="54"/>
  <c r="F10" i="54"/>
  <c r="M10" i="54" s="1" a="1"/>
  <c r="M10" i="54" s="1"/>
  <c r="AX9" i="54"/>
  <c r="AS9" i="54"/>
  <c r="AF9" i="54"/>
  <c r="X9" i="54"/>
  <c r="S9" i="54"/>
  <c r="L9" i="54" a="1"/>
  <c r="L9" i="54" s="1"/>
  <c r="K9" i="54"/>
  <c r="F9" i="54"/>
  <c r="M9" i="54" s="1" a="1"/>
  <c r="M9" i="54" s="1"/>
  <c r="AX8" i="54"/>
  <c r="AS8" i="54"/>
  <c r="AF8" i="54"/>
  <c r="S8" i="54"/>
  <c r="L8" i="54" a="1"/>
  <c r="L8" i="54" s="1"/>
  <c r="K8" i="54"/>
  <c r="F8" i="54"/>
  <c r="M8" i="54" s="1" a="1"/>
  <c r="M8" i="54" s="1"/>
  <c r="AX7" i="54"/>
  <c r="AS7" i="54"/>
  <c r="AK7" i="54"/>
  <c r="AF7" i="54"/>
  <c r="S7" i="54"/>
  <c r="K7" i="54"/>
  <c r="F7" i="54"/>
  <c r="AX6" i="54"/>
  <c r="AS6" i="54"/>
  <c r="AT32" i="54" s="1"/>
  <c r="AK6" i="54"/>
  <c r="AF6" i="54"/>
  <c r="X6" i="54"/>
  <c r="S6" i="54"/>
  <c r="K6" i="54"/>
  <c r="F6" i="54"/>
  <c r="AS5" i="54"/>
  <c r="AK5" i="54"/>
  <c r="AF5" i="54"/>
  <c r="X5" i="54"/>
  <c r="S5" i="54"/>
  <c r="F5" i="54"/>
  <c r="AX4" i="54"/>
  <c r="AS4" i="54"/>
  <c r="AF4" i="54"/>
  <c r="X4" i="54"/>
  <c r="S4" i="54"/>
  <c r="K4" i="54"/>
  <c r="A23" i="54" s="1"/>
  <c r="F4" i="54"/>
  <c r="AS3" i="54"/>
  <c r="AT33" i="54" s="1"/>
  <c r="AF3" i="54"/>
  <c r="S3" i="54"/>
  <c r="F3" i="54"/>
  <c r="AN1" i="54"/>
  <c r="B69" i="54" s="1"/>
  <c r="AA1" i="54"/>
  <c r="AB1" i="54" s="1"/>
  <c r="N1" i="54"/>
  <c r="O1" i="54" s="1"/>
  <c r="B1" i="54"/>
  <c r="A69" i="53"/>
  <c r="AB65" i="53"/>
  <c r="AA65" i="53"/>
  <c r="O65" i="53"/>
  <c r="N65" i="53"/>
  <c r="B65" i="53"/>
  <c r="A65" i="53"/>
  <c r="AF63" i="53"/>
  <c r="AE63" i="53"/>
  <c r="AD63" i="53"/>
  <c r="AD64" i="53" s="1"/>
  <c r="AD66" i="53" s="1"/>
  <c r="AC63" i="53"/>
  <c r="AC64" i="53" s="1"/>
  <c r="AC66" i="53" s="1"/>
  <c r="AB63" i="53"/>
  <c r="AA63" i="53"/>
  <c r="S63" i="53"/>
  <c r="R63" i="53"/>
  <c r="Q63" i="53"/>
  <c r="P63" i="53"/>
  <c r="P64" i="53" s="1"/>
  <c r="P66" i="53" s="1"/>
  <c r="O63" i="53"/>
  <c r="N63" i="53"/>
  <c r="F63" i="53"/>
  <c r="E63" i="53"/>
  <c r="D63" i="53"/>
  <c r="D64" i="53" s="1"/>
  <c r="D66" i="53" s="1"/>
  <c r="C63" i="53"/>
  <c r="C64" i="53" s="1"/>
  <c r="C66" i="53" s="1"/>
  <c r="B63" i="53"/>
  <c r="A63" i="53"/>
  <c r="AT59" i="53"/>
  <c r="AS59" i="53"/>
  <c r="AR59" i="53"/>
  <c r="AP59" i="53"/>
  <c r="AO59" i="53"/>
  <c r="AT58" i="53"/>
  <c r="AS58" i="53"/>
  <c r="AR58" i="53"/>
  <c r="AP58" i="53"/>
  <c r="AO58" i="53"/>
  <c r="AT57" i="53"/>
  <c r="AS57" i="53"/>
  <c r="AR57" i="53"/>
  <c r="AP57" i="53"/>
  <c r="AO57" i="53"/>
  <c r="AT56" i="53"/>
  <c r="AS56" i="53"/>
  <c r="AR56" i="53"/>
  <c r="AP56" i="53"/>
  <c r="AO56" i="53"/>
  <c r="AT55" i="53"/>
  <c r="AS55" i="53"/>
  <c r="AR55" i="53"/>
  <c r="AP55" i="53"/>
  <c r="AO55" i="53"/>
  <c r="AT54" i="53"/>
  <c r="AS54" i="53"/>
  <c r="AR54" i="53"/>
  <c r="AP54" i="53"/>
  <c r="AO54" i="53"/>
  <c r="AT53" i="53"/>
  <c r="AS53" i="53"/>
  <c r="AR53" i="53"/>
  <c r="AP53" i="53"/>
  <c r="AO53" i="53"/>
  <c r="AT52" i="53"/>
  <c r="AS52" i="53"/>
  <c r="AR52" i="53"/>
  <c r="AP52" i="53"/>
  <c r="AO52" i="53"/>
  <c r="AT51" i="53"/>
  <c r="AS51" i="53"/>
  <c r="AR51" i="53"/>
  <c r="AP51" i="53"/>
  <c r="AO51" i="53"/>
  <c r="AT50" i="53"/>
  <c r="AS50" i="53"/>
  <c r="AR50" i="53"/>
  <c r="AP50" i="53"/>
  <c r="AO50" i="53"/>
  <c r="AT49" i="53"/>
  <c r="AS49" i="53"/>
  <c r="AR49" i="53"/>
  <c r="AP49" i="53"/>
  <c r="AO49" i="53"/>
  <c r="AT48" i="53"/>
  <c r="AS48" i="53"/>
  <c r="AR48" i="53"/>
  <c r="AP48" i="53"/>
  <c r="AO48" i="53"/>
  <c r="AT47" i="53"/>
  <c r="AS47" i="53"/>
  <c r="AR47" i="53"/>
  <c r="AP47" i="53"/>
  <c r="AO47" i="53"/>
  <c r="AT46" i="53"/>
  <c r="AS46" i="53"/>
  <c r="AR46" i="53"/>
  <c r="AP46" i="53"/>
  <c r="AO46" i="53"/>
  <c r="AT45" i="53"/>
  <c r="AS45" i="53"/>
  <c r="AR45" i="53"/>
  <c r="AP45" i="53"/>
  <c r="AO45" i="53"/>
  <c r="AL45" i="53" a="1"/>
  <c r="AL45" i="53" s="1"/>
  <c r="AK45" i="53"/>
  <c r="AF45" i="53"/>
  <c r="AM45" i="53" s="1" a="1"/>
  <c r="AM45" i="53" s="1"/>
  <c r="Y45" i="53" a="1"/>
  <c r="Y45" i="53" s="1"/>
  <c r="X45" i="53"/>
  <c r="S45" i="53"/>
  <c r="Z45" i="53" s="1" a="1"/>
  <c r="Z45" i="53" s="1"/>
  <c r="L45" i="53" a="1"/>
  <c r="L45" i="53" s="1"/>
  <c r="K45" i="53"/>
  <c r="F45" i="53"/>
  <c r="M45" i="53" s="1" a="1"/>
  <c r="M45" i="53" s="1"/>
  <c r="AT44" i="53"/>
  <c r="AS44" i="53"/>
  <c r="AR44" i="53"/>
  <c r="AP44" i="53"/>
  <c r="AO44" i="53"/>
  <c r="AL44" i="53" a="1"/>
  <c r="AL44" i="53" s="1"/>
  <c r="AK44" i="53"/>
  <c r="AF44" i="53"/>
  <c r="AM44" i="53" s="1" a="1"/>
  <c r="AM44" i="53" s="1"/>
  <c r="Y44" i="53" a="1"/>
  <c r="Y44" i="53" s="1"/>
  <c r="X44" i="53"/>
  <c r="S44" i="53"/>
  <c r="Z44" i="53" s="1" a="1"/>
  <c r="Z44" i="53" s="1"/>
  <c r="M44" i="53" a="1"/>
  <c r="M44" i="53" s="1"/>
  <c r="L44" i="53" a="1"/>
  <c r="L44" i="53" s="1"/>
  <c r="K44" i="53"/>
  <c r="F44" i="53"/>
  <c r="AT42" i="53"/>
  <c r="AS42" i="53"/>
  <c r="AR42" i="53"/>
  <c r="AO42" i="53"/>
  <c r="AL43" i="53" a="1"/>
  <c r="AL43" i="53" s="1"/>
  <c r="AK43" i="53"/>
  <c r="AF43" i="53"/>
  <c r="AM43" i="53" s="1" a="1"/>
  <c r="AM43" i="53" s="1"/>
  <c r="Y43" i="53" a="1"/>
  <c r="Y43" i="53" s="1"/>
  <c r="X43" i="53"/>
  <c r="S43" i="53"/>
  <c r="Z43" i="53" s="1" a="1"/>
  <c r="Z43" i="53" s="1"/>
  <c r="M43" i="53" a="1"/>
  <c r="M43" i="53" s="1"/>
  <c r="L43" i="53" a="1"/>
  <c r="L43" i="53" s="1"/>
  <c r="K43" i="53"/>
  <c r="F43" i="53"/>
  <c r="AT37" i="53"/>
  <c r="AS37" i="53"/>
  <c r="AR37" i="53"/>
  <c r="AO37" i="53"/>
  <c r="AL42" i="53" a="1"/>
  <c r="AL42" i="53" s="1"/>
  <c r="AK42" i="53"/>
  <c r="AF42" i="53"/>
  <c r="AM42" i="53" s="1" a="1"/>
  <c r="AM42" i="53" s="1"/>
  <c r="Y42" i="53" a="1"/>
  <c r="Y42" i="53" s="1"/>
  <c r="X42" i="53"/>
  <c r="S42" i="53"/>
  <c r="Z42" i="53" s="1" a="1"/>
  <c r="Z42" i="53" s="1"/>
  <c r="M42" i="53" a="1"/>
  <c r="M42" i="53" s="1"/>
  <c r="L42" i="53" a="1"/>
  <c r="L42" i="53" s="1"/>
  <c r="K42" i="53"/>
  <c r="F42" i="53"/>
  <c r="AT43" i="53"/>
  <c r="AS43" i="53"/>
  <c r="AR43" i="53"/>
  <c r="AP43" i="53"/>
  <c r="AO43" i="53"/>
  <c r="AL41" i="53" a="1"/>
  <c r="AL41" i="53" s="1"/>
  <c r="AK41" i="53"/>
  <c r="AF41" i="53"/>
  <c r="AM41" i="53" s="1" a="1"/>
  <c r="AM41" i="53" s="1"/>
  <c r="Y41" i="53" a="1"/>
  <c r="Y41" i="53" s="1"/>
  <c r="X41" i="53"/>
  <c r="S41" i="53"/>
  <c r="Z41" i="53" s="1" a="1"/>
  <c r="Z41" i="53" s="1"/>
  <c r="M41" i="53" a="1"/>
  <c r="M41" i="53" s="1"/>
  <c r="L41" i="53" a="1"/>
  <c r="L41" i="53" s="1"/>
  <c r="K41" i="53"/>
  <c r="F41" i="53"/>
  <c r="AT40" i="53"/>
  <c r="AS40" i="53"/>
  <c r="AR40" i="53"/>
  <c r="AO40" i="53"/>
  <c r="AK40" i="53"/>
  <c r="AF40" i="53"/>
  <c r="Y40" i="53" a="1"/>
  <c r="Y40" i="53" s="1"/>
  <c r="X40" i="53"/>
  <c r="S40" i="53"/>
  <c r="Z40" i="53" s="1" a="1"/>
  <c r="Z40" i="53" s="1"/>
  <c r="L40" i="53" a="1"/>
  <c r="L40" i="53" s="1"/>
  <c r="K40" i="53"/>
  <c r="F40" i="53"/>
  <c r="M40" i="53" s="1" a="1"/>
  <c r="M40" i="53" s="1"/>
  <c r="AS41" i="53"/>
  <c r="AR41" i="53"/>
  <c r="AO41" i="53"/>
  <c r="AK39" i="53"/>
  <c r="AF39" i="53"/>
  <c r="Y39" i="53" a="1"/>
  <c r="Y39" i="53" s="1"/>
  <c r="X39" i="53"/>
  <c r="S39" i="53"/>
  <c r="Z39" i="53" s="1" a="1"/>
  <c r="Z39" i="53" s="1"/>
  <c r="L39" i="53" a="1"/>
  <c r="L39" i="53" s="1"/>
  <c r="K39" i="53"/>
  <c r="F39" i="53"/>
  <c r="M39" i="53" s="1" a="1"/>
  <c r="M39" i="53" s="1"/>
  <c r="AS29" i="53"/>
  <c r="AR29" i="53"/>
  <c r="AO29" i="53"/>
  <c r="AK38" i="53"/>
  <c r="AF38" i="53"/>
  <c r="Z38" i="53" a="1"/>
  <c r="Z38" i="53" s="1"/>
  <c r="Y38" i="53" a="1"/>
  <c r="Y38" i="53" s="1"/>
  <c r="X38" i="53"/>
  <c r="S38" i="53"/>
  <c r="L38" i="53" a="1"/>
  <c r="L38" i="53" s="1"/>
  <c r="K38" i="53"/>
  <c r="F38" i="53"/>
  <c r="M38" i="53" s="1" a="1"/>
  <c r="M38" i="53" s="1"/>
  <c r="AS39" i="53"/>
  <c r="AR39" i="53"/>
  <c r="AO39" i="53"/>
  <c r="AK37" i="53"/>
  <c r="AF37" i="53"/>
  <c r="Z37" i="53" a="1"/>
  <c r="Z37" i="53" s="1"/>
  <c r="Y37" i="53" a="1"/>
  <c r="Y37" i="53" s="1"/>
  <c r="X37" i="53"/>
  <c r="S37" i="53"/>
  <c r="L37" i="53" a="1"/>
  <c r="L37" i="53" s="1"/>
  <c r="K37" i="53"/>
  <c r="F37" i="53"/>
  <c r="M37" i="53" s="1" a="1"/>
  <c r="M37" i="53" s="1"/>
  <c r="AS34" i="53"/>
  <c r="AR34" i="53"/>
  <c r="AO34" i="53"/>
  <c r="AK36" i="53"/>
  <c r="AF36" i="53"/>
  <c r="Y36" i="53" a="1"/>
  <c r="Y36" i="53" s="1"/>
  <c r="X36" i="53"/>
  <c r="S36" i="53"/>
  <c r="Z36" i="53" s="1" a="1"/>
  <c r="Z36" i="53" s="1"/>
  <c r="K36" i="53"/>
  <c r="F36" i="53"/>
  <c r="AS33" i="53"/>
  <c r="AR33" i="53"/>
  <c r="AO33" i="53"/>
  <c r="AK35" i="53"/>
  <c r="AF35" i="53"/>
  <c r="X35" i="53"/>
  <c r="S35" i="53"/>
  <c r="K35" i="53"/>
  <c r="F35" i="53"/>
  <c r="AS35" i="53"/>
  <c r="AR35" i="53"/>
  <c r="AO35" i="53"/>
  <c r="AF34" i="53"/>
  <c r="X34" i="53"/>
  <c r="S34" i="53"/>
  <c r="K34" i="53"/>
  <c r="F34" i="53"/>
  <c r="AS31" i="53"/>
  <c r="AR31" i="53"/>
  <c r="AO31" i="53"/>
  <c r="AL33" i="53" a="1"/>
  <c r="AL33" i="53" s="1"/>
  <c r="AK33" i="53"/>
  <c r="AF33" i="53"/>
  <c r="S33" i="53"/>
  <c r="F33" i="53"/>
  <c r="AS38" i="53"/>
  <c r="AR38" i="53"/>
  <c r="AO38" i="53"/>
  <c r="AK32" i="53"/>
  <c r="AF32" i="53"/>
  <c r="S32" i="53"/>
  <c r="L32" i="53" a="1"/>
  <c r="L32" i="53" s="1"/>
  <c r="K32" i="53"/>
  <c r="F32" i="53"/>
  <c r="AS30" i="53"/>
  <c r="AR30" i="53"/>
  <c r="AO30" i="53"/>
  <c r="AK31" i="53"/>
  <c r="AF31" i="53"/>
  <c r="X31" i="53"/>
  <c r="S31" i="53"/>
  <c r="F31" i="53"/>
  <c r="AS36" i="53"/>
  <c r="AR36" i="53"/>
  <c r="AO36" i="53"/>
  <c r="AL30" i="53" a="1"/>
  <c r="AL30" i="53" s="1"/>
  <c r="AK30" i="53"/>
  <c r="AF30" i="53"/>
  <c r="X30" i="53"/>
  <c r="S30" i="53"/>
  <c r="K30" i="53"/>
  <c r="F30" i="53"/>
  <c r="AS32" i="53"/>
  <c r="AR32" i="53"/>
  <c r="AO32" i="53"/>
  <c r="AL29" i="53" a="1"/>
  <c r="AL29" i="53" s="1"/>
  <c r="AC65" i="53" s="1"/>
  <c r="AF29" i="53"/>
  <c r="Y29" i="53" a="1"/>
  <c r="Y29" i="53" s="1"/>
  <c r="S29" i="53"/>
  <c r="F29" i="53"/>
  <c r="AA27" i="53"/>
  <c r="AB27" i="53" s="1"/>
  <c r="N27" i="53"/>
  <c r="O27" i="53" s="1"/>
  <c r="A27" i="53"/>
  <c r="B27" i="53" s="1"/>
  <c r="AO24" i="53"/>
  <c r="AN24" i="53"/>
  <c r="AB24" i="53"/>
  <c r="AA24" i="53"/>
  <c r="O24" i="53"/>
  <c r="N24" i="53"/>
  <c r="B24" i="53"/>
  <c r="A24" i="53"/>
  <c r="AS22" i="53"/>
  <c r="AR22" i="53"/>
  <c r="AQ22" i="53"/>
  <c r="AP22" i="53"/>
  <c r="AO22" i="53"/>
  <c r="AN22" i="53"/>
  <c r="AF22" i="53"/>
  <c r="AE22" i="53"/>
  <c r="AD22" i="53"/>
  <c r="AC22" i="53"/>
  <c r="AB22" i="53"/>
  <c r="AA22" i="53"/>
  <c r="S22" i="53"/>
  <c r="R22" i="53"/>
  <c r="Q22" i="53"/>
  <c r="P22" i="53"/>
  <c r="P23" i="53" s="1"/>
  <c r="P25" i="53" s="1"/>
  <c r="O22" i="53"/>
  <c r="N22" i="53"/>
  <c r="F22" i="53"/>
  <c r="E22" i="53"/>
  <c r="D22" i="53"/>
  <c r="D23" i="53" s="1"/>
  <c r="D25" i="53" s="1"/>
  <c r="C22" i="53"/>
  <c r="C23" i="53" s="1"/>
  <c r="C25" i="53" s="1"/>
  <c r="B22" i="53"/>
  <c r="A22" i="53"/>
  <c r="AY19" i="53" a="1"/>
  <c r="AY19" i="53" s="1"/>
  <c r="AX19" i="53"/>
  <c r="AS19" i="53"/>
  <c r="AZ19" i="53" s="1" a="1"/>
  <c r="AZ19" i="53" s="1"/>
  <c r="AM19" i="53" a="1"/>
  <c r="AM19" i="53" s="1"/>
  <c r="AL19" i="53" a="1"/>
  <c r="AL19" i="53" s="1"/>
  <c r="AK19" i="53"/>
  <c r="AF19" i="53"/>
  <c r="Y19" i="53" a="1"/>
  <c r="Y19" i="53" s="1"/>
  <c r="X19" i="53"/>
  <c r="S19" i="53"/>
  <c r="Z19" i="53" s="1" a="1"/>
  <c r="Z19" i="53" s="1"/>
  <c r="M19" i="53" a="1"/>
  <c r="M19" i="53" s="1"/>
  <c r="L19" i="53" a="1"/>
  <c r="L19" i="53" s="1"/>
  <c r="K19" i="53"/>
  <c r="F19" i="53"/>
  <c r="AY18" i="53" a="1"/>
  <c r="AY18" i="53" s="1"/>
  <c r="AX18" i="53"/>
  <c r="AS18" i="53"/>
  <c r="AZ18" i="53" s="1" a="1"/>
  <c r="AZ18" i="53" s="1"/>
  <c r="AM18" i="53" a="1"/>
  <c r="AM18" i="53" s="1"/>
  <c r="AL18" i="53" a="1"/>
  <c r="AL18" i="53" s="1"/>
  <c r="AK18" i="53"/>
  <c r="AF18" i="53"/>
  <c r="Y18" i="53" a="1"/>
  <c r="Y18" i="53" s="1"/>
  <c r="X18" i="53"/>
  <c r="S18" i="53"/>
  <c r="Z18" i="53" s="1" a="1"/>
  <c r="Z18" i="53" s="1"/>
  <c r="M18" i="53" a="1"/>
  <c r="M18" i="53" s="1"/>
  <c r="L18" i="53" a="1"/>
  <c r="L18" i="53" s="1"/>
  <c r="K18" i="53"/>
  <c r="F18" i="53"/>
  <c r="AY17" i="53" a="1"/>
  <c r="AY17" i="53" s="1"/>
  <c r="AX17" i="53"/>
  <c r="AS17" i="53"/>
  <c r="AZ17" i="53" s="1" a="1"/>
  <c r="AZ17" i="53" s="1"/>
  <c r="AM17" i="53" a="1"/>
  <c r="AM17" i="53" s="1"/>
  <c r="AL17" i="53" a="1"/>
  <c r="AL17" i="53" s="1"/>
  <c r="AK17" i="53"/>
  <c r="AF17" i="53"/>
  <c r="Y17" i="53" a="1"/>
  <c r="Y17" i="53" s="1"/>
  <c r="X17" i="53"/>
  <c r="S17" i="53"/>
  <c r="Z17" i="53" s="1" a="1"/>
  <c r="Z17" i="53" s="1"/>
  <c r="M17" i="53" a="1"/>
  <c r="M17" i="53" s="1"/>
  <c r="L17" i="53" a="1"/>
  <c r="L17" i="53" s="1"/>
  <c r="K17" i="53"/>
  <c r="F17" i="53"/>
  <c r="AZ16" i="53" a="1"/>
  <c r="AZ16" i="53" s="1"/>
  <c r="AY16" i="53" a="1"/>
  <c r="AY16" i="53" s="1"/>
  <c r="AX16" i="53"/>
  <c r="AS16" i="53"/>
  <c r="AL16" i="53" a="1"/>
  <c r="AL16" i="53" s="1"/>
  <c r="AK16" i="53"/>
  <c r="AF16" i="53"/>
  <c r="AM16" i="53" s="1" a="1"/>
  <c r="AM16" i="53" s="1"/>
  <c r="Y16" i="53" a="1"/>
  <c r="Y16" i="53" s="1"/>
  <c r="X16" i="53"/>
  <c r="S16" i="53"/>
  <c r="Z16" i="53" s="1" a="1"/>
  <c r="Z16" i="53" s="1"/>
  <c r="M16" i="53" a="1"/>
  <c r="M16" i="53" s="1"/>
  <c r="L16" i="53" a="1"/>
  <c r="L16" i="53" s="1"/>
  <c r="K16" i="53"/>
  <c r="F16" i="53"/>
  <c r="AY15" i="53" a="1"/>
  <c r="AY15" i="53" s="1"/>
  <c r="AX15" i="53"/>
  <c r="AS15" i="53"/>
  <c r="AZ15" i="53" s="1" a="1"/>
  <c r="AZ15" i="53" s="1"/>
  <c r="AM15" i="53" a="1"/>
  <c r="AM15" i="53" s="1"/>
  <c r="AL15" i="53" a="1"/>
  <c r="AL15" i="53" s="1"/>
  <c r="AK15" i="53"/>
  <c r="AF15" i="53"/>
  <c r="Y15" i="53" a="1"/>
  <c r="Y15" i="53" s="1"/>
  <c r="X15" i="53"/>
  <c r="S15" i="53"/>
  <c r="Z15" i="53" s="1" a="1"/>
  <c r="Z15" i="53" s="1"/>
  <c r="M15" i="53" a="1"/>
  <c r="M15" i="53" s="1"/>
  <c r="L15" i="53" a="1"/>
  <c r="L15" i="53" s="1"/>
  <c r="K15" i="53"/>
  <c r="F15" i="53"/>
  <c r="AY14" i="53" a="1"/>
  <c r="AY14" i="53" s="1"/>
  <c r="AX14" i="53"/>
  <c r="AS14" i="53"/>
  <c r="AZ14" i="53" s="1" a="1"/>
  <c r="AZ14" i="53" s="1"/>
  <c r="AK14" i="53"/>
  <c r="AF14" i="53"/>
  <c r="Y14" i="53" a="1"/>
  <c r="Y14" i="53" s="1"/>
  <c r="X14" i="53"/>
  <c r="S14" i="53"/>
  <c r="Z14" i="53" s="1" a="1"/>
  <c r="Z14" i="53" s="1"/>
  <c r="M14" i="53" a="1"/>
  <c r="M14" i="53" s="1"/>
  <c r="L14" i="53" a="1"/>
  <c r="L14" i="53" s="1"/>
  <c r="K14" i="53"/>
  <c r="F14" i="53"/>
  <c r="AY13" i="53" a="1"/>
  <c r="AY13" i="53" s="1"/>
  <c r="AX13" i="53"/>
  <c r="AS13" i="53"/>
  <c r="AZ13" i="53" s="1" a="1"/>
  <c r="AZ13" i="53" s="1"/>
  <c r="AK13" i="53"/>
  <c r="AF13" i="53"/>
  <c r="X13" i="53"/>
  <c r="S13" i="53"/>
  <c r="L13" i="53" a="1"/>
  <c r="L13" i="53" s="1"/>
  <c r="K13" i="53"/>
  <c r="F13" i="53"/>
  <c r="M13" i="53" s="1" a="1"/>
  <c r="M13" i="53" s="1"/>
  <c r="AZ12" i="53" a="1"/>
  <c r="AZ12" i="53" s="1"/>
  <c r="AY12" i="53" a="1"/>
  <c r="AY12" i="53" s="1"/>
  <c r="AX12" i="53"/>
  <c r="AS12" i="53"/>
  <c r="AK12" i="53"/>
  <c r="AF12" i="53"/>
  <c r="X12" i="53"/>
  <c r="S12" i="53"/>
  <c r="L12" i="53" a="1"/>
  <c r="L12" i="53" s="1"/>
  <c r="K12" i="53"/>
  <c r="F12" i="53"/>
  <c r="M12" i="53" s="1" a="1"/>
  <c r="M12" i="53" s="1"/>
  <c r="AY11" i="53" a="1"/>
  <c r="AY11" i="53" s="1"/>
  <c r="AX11" i="53"/>
  <c r="AS11" i="53"/>
  <c r="AZ11" i="53" s="1" a="1"/>
  <c r="AZ11" i="53" s="1"/>
  <c r="AK11" i="53"/>
  <c r="AF11" i="53"/>
  <c r="X11" i="53"/>
  <c r="S11" i="53"/>
  <c r="M11" i="53" a="1"/>
  <c r="M11" i="53" s="1"/>
  <c r="L11" i="53" a="1"/>
  <c r="L11" i="53" s="1"/>
  <c r="K11" i="53"/>
  <c r="F11" i="53"/>
  <c r="AY10" i="53" a="1"/>
  <c r="AY10" i="53" s="1"/>
  <c r="AX10" i="53"/>
  <c r="AS10" i="53"/>
  <c r="AZ10" i="53" s="1" a="1"/>
  <c r="AZ10" i="53" s="1"/>
  <c r="AK10" i="53"/>
  <c r="AF10" i="53"/>
  <c r="X10" i="53"/>
  <c r="S10" i="53"/>
  <c r="L10" i="53" a="1"/>
  <c r="L10" i="53" s="1"/>
  <c r="K10" i="53"/>
  <c r="F10" i="53"/>
  <c r="M10" i="53" s="1" a="1"/>
  <c r="M10" i="53" s="1"/>
  <c r="AX9" i="53"/>
  <c r="AS9" i="53"/>
  <c r="AF9" i="53"/>
  <c r="X9" i="53"/>
  <c r="S9" i="53"/>
  <c r="L9" i="53" a="1"/>
  <c r="L9" i="53" s="1"/>
  <c r="K9" i="53"/>
  <c r="F9" i="53"/>
  <c r="M9" i="53" s="1" a="1"/>
  <c r="M9" i="53" s="1"/>
  <c r="AS8" i="53"/>
  <c r="AT35" i="53" s="1"/>
  <c r="AF8" i="53"/>
  <c r="S8" i="53"/>
  <c r="L8" i="53" a="1"/>
  <c r="L8" i="53" s="1"/>
  <c r="K8" i="53"/>
  <c r="F8" i="53"/>
  <c r="M8" i="53" s="1" a="1"/>
  <c r="M8" i="53" s="1"/>
  <c r="AX7" i="53"/>
  <c r="AS7" i="53"/>
  <c r="AK7" i="53"/>
  <c r="AF7" i="53"/>
  <c r="S7" i="53"/>
  <c r="K7" i="53"/>
  <c r="F7" i="53"/>
  <c r="AX6" i="53"/>
  <c r="AS6" i="53"/>
  <c r="AK6" i="53"/>
  <c r="AF6" i="53"/>
  <c r="S6" i="53"/>
  <c r="L6" i="53" a="1"/>
  <c r="L6" i="53" s="1"/>
  <c r="K6" i="53"/>
  <c r="F6" i="53"/>
  <c r="AS5" i="53"/>
  <c r="AF5" i="53"/>
  <c r="X5" i="53"/>
  <c r="S5" i="53"/>
  <c r="F5" i="53"/>
  <c r="AX4" i="53"/>
  <c r="AS4" i="53"/>
  <c r="AF4" i="53"/>
  <c r="X4" i="53"/>
  <c r="S4" i="53"/>
  <c r="F4" i="53"/>
  <c r="AS3" i="53"/>
  <c r="AT38" i="53" s="1"/>
  <c r="AF3" i="53"/>
  <c r="S3" i="53"/>
  <c r="F3" i="53"/>
  <c r="AN1" i="53"/>
  <c r="B69" i="53" s="1"/>
  <c r="AA1" i="53"/>
  <c r="AB1" i="53" s="1"/>
  <c r="N1" i="53"/>
  <c r="O1" i="53" s="1"/>
  <c r="B1" i="53"/>
  <c r="A69" i="52"/>
  <c r="AF65" i="52"/>
  <c r="AE65" i="52"/>
  <c r="AD65" i="52"/>
  <c r="AC65" i="52"/>
  <c r="AB65" i="52"/>
  <c r="AA65" i="52"/>
  <c r="O65" i="52"/>
  <c r="N65" i="52"/>
  <c r="B65" i="52"/>
  <c r="A65" i="52"/>
  <c r="AF64" i="52"/>
  <c r="AE64" i="52"/>
  <c r="AB64" i="52"/>
  <c r="AA64" i="52"/>
  <c r="AF63" i="52"/>
  <c r="AE63" i="52"/>
  <c r="AD63" i="52"/>
  <c r="AD64" i="52" s="1"/>
  <c r="AD66" i="52" s="1"/>
  <c r="AC63" i="52"/>
  <c r="AC64" i="52" s="1"/>
  <c r="AC66" i="52" s="1"/>
  <c r="AB63" i="52"/>
  <c r="AD67" i="52" s="1"/>
  <c r="AA63" i="52"/>
  <c r="S63" i="52"/>
  <c r="R63" i="52"/>
  <c r="Q63" i="52"/>
  <c r="P63" i="52"/>
  <c r="P64" i="52" s="1"/>
  <c r="P66" i="52" s="1"/>
  <c r="O63" i="52"/>
  <c r="N63" i="52"/>
  <c r="F63" i="52"/>
  <c r="E63" i="52"/>
  <c r="D63" i="52"/>
  <c r="D64" i="52" s="1"/>
  <c r="D66" i="52" s="1"/>
  <c r="C63" i="52"/>
  <c r="C64" i="52" s="1"/>
  <c r="C66" i="52" s="1"/>
  <c r="B63" i="52"/>
  <c r="A63" i="52"/>
  <c r="AT59" i="52"/>
  <c r="AS59" i="52"/>
  <c r="AR59" i="52"/>
  <c r="AP59" i="52"/>
  <c r="AO59" i="52"/>
  <c r="AT58" i="52"/>
  <c r="AS58" i="52"/>
  <c r="AR58" i="52"/>
  <c r="AP58" i="52"/>
  <c r="AO58" i="52"/>
  <c r="AT57" i="52"/>
  <c r="AS57" i="52"/>
  <c r="AR57" i="52"/>
  <c r="AP57" i="52"/>
  <c r="AO57" i="52"/>
  <c r="AT56" i="52"/>
  <c r="AS56" i="52"/>
  <c r="AR56" i="52"/>
  <c r="AP56" i="52"/>
  <c r="AO56" i="52"/>
  <c r="AT55" i="52"/>
  <c r="AS55" i="52"/>
  <c r="AR55" i="52"/>
  <c r="AP55" i="52"/>
  <c r="AO55" i="52"/>
  <c r="AT54" i="52"/>
  <c r="AS54" i="52"/>
  <c r="AR54" i="52"/>
  <c r="AP54" i="52"/>
  <c r="AO54" i="52"/>
  <c r="AT53" i="52"/>
  <c r="AS53" i="52"/>
  <c r="AR53" i="52"/>
  <c r="AP53" i="52"/>
  <c r="AO53" i="52"/>
  <c r="AT52" i="52"/>
  <c r="AS52" i="52"/>
  <c r="AR52" i="52"/>
  <c r="AP52" i="52"/>
  <c r="AO52" i="52"/>
  <c r="AT51" i="52"/>
  <c r="AS51" i="52"/>
  <c r="AR51" i="52"/>
  <c r="AP51" i="52"/>
  <c r="AO51" i="52"/>
  <c r="AT50" i="52"/>
  <c r="AS50" i="52"/>
  <c r="AR50" i="52"/>
  <c r="AP50" i="52"/>
  <c r="AO50" i="52"/>
  <c r="AT49" i="52"/>
  <c r="AS49" i="52"/>
  <c r="AR49" i="52"/>
  <c r="AP49" i="52"/>
  <c r="AO49" i="52"/>
  <c r="AT48" i="52"/>
  <c r="AS48" i="52"/>
  <c r="AR48" i="52"/>
  <c r="AP48" i="52"/>
  <c r="AO48" i="52"/>
  <c r="AT47" i="52"/>
  <c r="AS47" i="52"/>
  <c r="AR47" i="52"/>
  <c r="AP47" i="52"/>
  <c r="AO47" i="52"/>
  <c r="AT46" i="52"/>
  <c r="AS46" i="52"/>
  <c r="AR46" i="52"/>
  <c r="AP46" i="52"/>
  <c r="AO46" i="52"/>
  <c r="AT45" i="52"/>
  <c r="AS45" i="52"/>
  <c r="AR45" i="52"/>
  <c r="AP45" i="52"/>
  <c r="AO45" i="52"/>
  <c r="AL45" i="52" a="1"/>
  <c r="AL45" i="52" s="1"/>
  <c r="AK45" i="52"/>
  <c r="AF45" i="52"/>
  <c r="AM45" i="52" s="1" a="1"/>
  <c r="AM45" i="52" s="1"/>
  <c r="Y45" i="52" a="1"/>
  <c r="Y45" i="52" s="1"/>
  <c r="X45" i="52"/>
  <c r="S45" i="52"/>
  <c r="Z45" i="52" s="1" a="1"/>
  <c r="Z45" i="52" s="1"/>
  <c r="L45" i="52" a="1"/>
  <c r="L45" i="52" s="1"/>
  <c r="K45" i="52"/>
  <c r="F45" i="52"/>
  <c r="M45" i="52" s="1" a="1"/>
  <c r="M45" i="52" s="1"/>
  <c r="AT44" i="52"/>
  <c r="AS44" i="52"/>
  <c r="AR44" i="52"/>
  <c r="AP44" i="52"/>
  <c r="AO44" i="52"/>
  <c r="AL44" i="52" a="1"/>
  <c r="AL44" i="52" s="1"/>
  <c r="AK44" i="52"/>
  <c r="AF44" i="52"/>
  <c r="AM44" i="52" s="1" a="1"/>
  <c r="AM44" i="52" s="1"/>
  <c r="Y44" i="52" a="1"/>
  <c r="Y44" i="52" s="1"/>
  <c r="X44" i="52"/>
  <c r="S44" i="52"/>
  <c r="Z44" i="52" s="1" a="1"/>
  <c r="Z44" i="52" s="1"/>
  <c r="L44" i="52" a="1"/>
  <c r="L44" i="52" s="1"/>
  <c r="K44" i="52"/>
  <c r="F44" i="52"/>
  <c r="M44" i="52" s="1" a="1"/>
  <c r="M44" i="52" s="1"/>
  <c r="AT43" i="52"/>
  <c r="AS43" i="52"/>
  <c r="AR43" i="52"/>
  <c r="AP43" i="52"/>
  <c r="AO43" i="52"/>
  <c r="AM43" i="52" a="1"/>
  <c r="AM43" i="52" s="1"/>
  <c r="AL43" i="52" a="1"/>
  <c r="AL43" i="52" s="1"/>
  <c r="AK43" i="52"/>
  <c r="AF43" i="52"/>
  <c r="Z43" i="52" a="1"/>
  <c r="Z43" i="52" s="1"/>
  <c r="Y43" i="52" a="1"/>
  <c r="Y43" i="52" s="1"/>
  <c r="X43" i="52"/>
  <c r="S43" i="52"/>
  <c r="M43" i="52" a="1"/>
  <c r="M43" i="52" s="1"/>
  <c r="L43" i="52" a="1"/>
  <c r="L43" i="52" s="1"/>
  <c r="K43" i="52"/>
  <c r="F43" i="52"/>
  <c r="AT42" i="52"/>
  <c r="AS42" i="52"/>
  <c r="AR42" i="52"/>
  <c r="AP42" i="52"/>
  <c r="AO42" i="52"/>
  <c r="AM42" i="52" a="1"/>
  <c r="AM42" i="52" s="1"/>
  <c r="AL42" i="52" a="1"/>
  <c r="AL42" i="52" s="1"/>
  <c r="AK42" i="52"/>
  <c r="AF42" i="52"/>
  <c r="Y42" i="52" a="1"/>
  <c r="Y42" i="52" s="1"/>
  <c r="X42" i="52"/>
  <c r="S42" i="52"/>
  <c r="Z42" i="52" s="1" a="1"/>
  <c r="Z42" i="52" s="1"/>
  <c r="M42" i="52" a="1"/>
  <c r="M42" i="52" s="1"/>
  <c r="L42" i="52" a="1"/>
  <c r="L42" i="52" s="1"/>
  <c r="K42" i="52"/>
  <c r="F42" i="52"/>
  <c r="AT41" i="52"/>
  <c r="AS41" i="52"/>
  <c r="AR41" i="52"/>
  <c r="AP41" i="52"/>
  <c r="AO41" i="52"/>
  <c r="AM41" i="52" a="1"/>
  <c r="AM41" i="52" s="1"/>
  <c r="AL41" i="52" a="1"/>
  <c r="AL41" i="52" s="1"/>
  <c r="AK41" i="52"/>
  <c r="AF41" i="52"/>
  <c r="Y41" i="52" a="1"/>
  <c r="Y41" i="52" s="1"/>
  <c r="X41" i="52"/>
  <c r="S41" i="52"/>
  <c r="Z41" i="52" s="1" a="1"/>
  <c r="Z41" i="52" s="1"/>
  <c r="M41" i="52" a="1"/>
  <c r="M41" i="52" s="1"/>
  <c r="L41" i="52" a="1"/>
  <c r="L41" i="52" s="1"/>
  <c r="K41" i="52"/>
  <c r="F41" i="52"/>
  <c r="AT40" i="52"/>
  <c r="AS40" i="52"/>
  <c r="AR40" i="52"/>
  <c r="AP40" i="52"/>
  <c r="AO40" i="52"/>
  <c r="AM40" i="52" a="1"/>
  <c r="AM40" i="52" s="1"/>
  <c r="AL40" i="52" a="1"/>
  <c r="AL40" i="52" s="1"/>
  <c r="AK40" i="52"/>
  <c r="AF40" i="52"/>
  <c r="Y40" i="52" a="1"/>
  <c r="Y40" i="52" s="1"/>
  <c r="X40" i="52"/>
  <c r="S40" i="52"/>
  <c r="Z40" i="52" s="1" a="1"/>
  <c r="Z40" i="52" s="1"/>
  <c r="M40" i="52" a="1"/>
  <c r="M40" i="52" s="1"/>
  <c r="L40" i="52" a="1"/>
  <c r="L40" i="52" s="1"/>
  <c r="K40" i="52"/>
  <c r="F40" i="52"/>
  <c r="AS39" i="52"/>
  <c r="AR39" i="52"/>
  <c r="AO39" i="52"/>
  <c r="AM39" i="52" a="1"/>
  <c r="AM39" i="52" s="1"/>
  <c r="AL39" i="52" a="1"/>
  <c r="AL39" i="52" s="1"/>
  <c r="AK39" i="52"/>
  <c r="AF39" i="52"/>
  <c r="Z39" i="52" a="1"/>
  <c r="Z39" i="52" s="1"/>
  <c r="Y39" i="52" a="1"/>
  <c r="Y39" i="52" s="1"/>
  <c r="X39" i="52"/>
  <c r="S39" i="52"/>
  <c r="M39" i="52" a="1"/>
  <c r="M39" i="52" s="1"/>
  <c r="L39" i="52" a="1"/>
  <c r="L39" i="52" s="1"/>
  <c r="K39" i="52"/>
  <c r="F39" i="52"/>
  <c r="AS30" i="52"/>
  <c r="AR30" i="52"/>
  <c r="AO30" i="52"/>
  <c r="AL38" i="52" a="1"/>
  <c r="AL38" i="52" s="1"/>
  <c r="AK38" i="52"/>
  <c r="AF38" i="52"/>
  <c r="AM38" i="52" s="1" a="1"/>
  <c r="AM38" i="52" s="1"/>
  <c r="Z38" i="52" a="1"/>
  <c r="Z38" i="52" s="1"/>
  <c r="Y38" i="52" a="1"/>
  <c r="Y38" i="52" s="1"/>
  <c r="X38" i="52"/>
  <c r="S38" i="52"/>
  <c r="L38" i="52" a="1"/>
  <c r="L38" i="52" s="1"/>
  <c r="K38" i="52"/>
  <c r="F38" i="52"/>
  <c r="M38" i="52" s="1" a="1"/>
  <c r="M38" i="52" s="1"/>
  <c r="AS38" i="52"/>
  <c r="AR38" i="52"/>
  <c r="AO38" i="52"/>
  <c r="AL37" i="52" a="1"/>
  <c r="AL37" i="52" s="1"/>
  <c r="AK37" i="52"/>
  <c r="AF37" i="52"/>
  <c r="AM37" i="52" s="1" a="1"/>
  <c r="AM37" i="52" s="1"/>
  <c r="Y37" i="52" a="1"/>
  <c r="Y37" i="52" s="1"/>
  <c r="X37" i="52"/>
  <c r="S37" i="52"/>
  <c r="Z37" i="52" s="1" a="1"/>
  <c r="Z37" i="52" s="1"/>
  <c r="L37" i="52" a="1"/>
  <c r="L37" i="52" s="1"/>
  <c r="K37" i="52"/>
  <c r="F37" i="52"/>
  <c r="M37" i="52" s="1" a="1"/>
  <c r="M37" i="52" s="1"/>
  <c r="AS36" i="52"/>
  <c r="AR36" i="52"/>
  <c r="AO36" i="52"/>
  <c r="AL36" i="52" a="1"/>
  <c r="AL36" i="52" s="1"/>
  <c r="AK36" i="52"/>
  <c r="AF36" i="52"/>
  <c r="AM36" i="52" s="1" a="1"/>
  <c r="AM36" i="52" s="1"/>
  <c r="Z36" i="52" a="1"/>
  <c r="Z36" i="52" s="1"/>
  <c r="Y36" i="52" a="1"/>
  <c r="Y36" i="52" s="1"/>
  <c r="X36" i="52"/>
  <c r="S36" i="52"/>
  <c r="K36" i="52"/>
  <c r="F36" i="52"/>
  <c r="AS33" i="52"/>
  <c r="AR33" i="52"/>
  <c r="AO33" i="52"/>
  <c r="AM35" i="52" a="1"/>
  <c r="AM35" i="52" s="1"/>
  <c r="AL35" i="52" a="1"/>
  <c r="AL35" i="52" s="1"/>
  <c r="AK35" i="52"/>
  <c r="AF35" i="52"/>
  <c r="X35" i="52"/>
  <c r="S35" i="52"/>
  <c r="K35" i="52"/>
  <c r="F35" i="52"/>
  <c r="AS37" i="52"/>
  <c r="AR37" i="52"/>
  <c r="AO37" i="52"/>
  <c r="AM34" i="52" a="1"/>
  <c r="AM34" i="52" s="1"/>
  <c r="AL34" i="52" a="1"/>
  <c r="AL34" i="52" s="1"/>
  <c r="AK34" i="52"/>
  <c r="AF34" i="52"/>
  <c r="X34" i="52"/>
  <c r="S34" i="52"/>
  <c r="K34" i="52"/>
  <c r="F34" i="52"/>
  <c r="AS29" i="52"/>
  <c r="AR29" i="52"/>
  <c r="AO29" i="52"/>
  <c r="AM33" i="52" a="1"/>
  <c r="AM33" i="52" s="1"/>
  <c r="AL33" i="52" a="1"/>
  <c r="AL33" i="52" s="1"/>
  <c r="AK33" i="52"/>
  <c r="AF33" i="52"/>
  <c r="S33" i="52"/>
  <c r="F33" i="52"/>
  <c r="AS35" i="52"/>
  <c r="AR35" i="52"/>
  <c r="AO35" i="52"/>
  <c r="AM32" i="52" a="1"/>
  <c r="AM32" i="52" s="1"/>
  <c r="AL32" i="52" a="1"/>
  <c r="AL32" i="52" s="1"/>
  <c r="AK32" i="52"/>
  <c r="AF32" i="52"/>
  <c r="X32" i="52"/>
  <c r="S32" i="52"/>
  <c r="K32" i="52"/>
  <c r="F32" i="52"/>
  <c r="AS34" i="52"/>
  <c r="AR34" i="52"/>
  <c r="AO34" i="52"/>
  <c r="AM31" i="52" a="1"/>
  <c r="AM31" i="52" s="1"/>
  <c r="AL31" i="52" a="1"/>
  <c r="AL31" i="52" s="1"/>
  <c r="AK31" i="52"/>
  <c r="AF31" i="52"/>
  <c r="X31" i="52"/>
  <c r="S31" i="52"/>
  <c r="K31" i="52"/>
  <c r="F31" i="52"/>
  <c r="AS31" i="52"/>
  <c r="AR31" i="52"/>
  <c r="AO31" i="52"/>
  <c r="AL30" i="52" a="1"/>
  <c r="AL30" i="52" s="1"/>
  <c r="AK30" i="52"/>
  <c r="AF30" i="52"/>
  <c r="AM30" i="52" s="1" a="1"/>
  <c r="AM30" i="52" s="1"/>
  <c r="X30" i="52"/>
  <c r="S30" i="52"/>
  <c r="L30" i="52" a="1"/>
  <c r="L30" i="52" s="1"/>
  <c r="K30" i="52"/>
  <c r="F30" i="52"/>
  <c r="AS32" i="52"/>
  <c r="AR32" i="52"/>
  <c r="AO32" i="52"/>
  <c r="AL29" i="52" a="1"/>
  <c r="AL29" i="52" s="1"/>
  <c r="AK29" i="52"/>
  <c r="AF29" i="52"/>
  <c r="AM29" i="52" s="1" a="1"/>
  <c r="AM29" i="52" s="1"/>
  <c r="S29" i="52"/>
  <c r="F29" i="52"/>
  <c r="AA27" i="52"/>
  <c r="AB27" i="52" s="1"/>
  <c r="N27" i="52"/>
  <c r="O27" i="52" s="1"/>
  <c r="A27" i="52"/>
  <c r="B27" i="52" s="1"/>
  <c r="AO24" i="52"/>
  <c r="AN24" i="52"/>
  <c r="AB24" i="52"/>
  <c r="AA24" i="52"/>
  <c r="O24" i="52"/>
  <c r="N24" i="52"/>
  <c r="B24" i="52"/>
  <c r="A24" i="52"/>
  <c r="AS22" i="52"/>
  <c r="AR22" i="52"/>
  <c r="AQ22" i="52"/>
  <c r="AP22" i="52"/>
  <c r="AO22" i="52"/>
  <c r="AN22" i="52"/>
  <c r="AF22" i="52"/>
  <c r="AE22" i="52"/>
  <c r="AD22" i="52"/>
  <c r="AC22" i="52"/>
  <c r="AC23" i="52" s="1"/>
  <c r="AC25" i="52" s="1"/>
  <c r="AB22" i="52"/>
  <c r="AA22" i="52"/>
  <c r="S22" i="52"/>
  <c r="R22" i="52"/>
  <c r="Q22" i="52"/>
  <c r="P22" i="52"/>
  <c r="O22" i="52"/>
  <c r="N22" i="52"/>
  <c r="F22" i="52"/>
  <c r="E22" i="52"/>
  <c r="D22" i="52"/>
  <c r="C22" i="52"/>
  <c r="B22" i="52"/>
  <c r="A22" i="52"/>
  <c r="AY19" i="52" a="1"/>
  <c r="AY19" i="52" s="1"/>
  <c r="AX19" i="52"/>
  <c r="AS19" i="52"/>
  <c r="AZ19" i="52" s="1" a="1"/>
  <c r="AZ19" i="52" s="1"/>
  <c r="AL19" i="52" a="1"/>
  <c r="AL19" i="52" s="1"/>
  <c r="AK19" i="52"/>
  <c r="AF19" i="52"/>
  <c r="AM19" i="52" s="1" a="1"/>
  <c r="AM19" i="52" s="1"/>
  <c r="Y19" i="52" a="1"/>
  <c r="Y19" i="52" s="1"/>
  <c r="X19" i="52"/>
  <c r="S19" i="52"/>
  <c r="Z19" i="52" s="1" a="1"/>
  <c r="Z19" i="52" s="1"/>
  <c r="L19" i="52" a="1"/>
  <c r="L19" i="52" s="1"/>
  <c r="K19" i="52"/>
  <c r="F19" i="52"/>
  <c r="M19" i="52" s="1" a="1"/>
  <c r="M19" i="52" s="1"/>
  <c r="AY18" i="52" a="1"/>
  <c r="AY18" i="52" s="1"/>
  <c r="AX18" i="52"/>
  <c r="AS18" i="52"/>
  <c r="AZ18" i="52" s="1" a="1"/>
  <c r="AZ18" i="52" s="1"/>
  <c r="AL18" i="52" a="1"/>
  <c r="AL18" i="52" s="1"/>
  <c r="AK18" i="52"/>
  <c r="AF18" i="52"/>
  <c r="AM18" i="52" s="1" a="1"/>
  <c r="AM18" i="52" s="1"/>
  <c r="Y18" i="52" a="1"/>
  <c r="Y18" i="52" s="1"/>
  <c r="X18" i="52"/>
  <c r="S18" i="52"/>
  <c r="Z18" i="52" s="1" a="1"/>
  <c r="Z18" i="52" s="1"/>
  <c r="L18" i="52" a="1"/>
  <c r="L18" i="52" s="1"/>
  <c r="K18" i="52"/>
  <c r="F18" i="52"/>
  <c r="M18" i="52" s="1" a="1"/>
  <c r="M18" i="52" s="1"/>
  <c r="AY17" i="52" a="1"/>
  <c r="AY17" i="52" s="1"/>
  <c r="AX17" i="52"/>
  <c r="AS17" i="52"/>
  <c r="AZ17" i="52" s="1" a="1"/>
  <c r="AZ17" i="52" s="1"/>
  <c r="AM17" i="52" a="1"/>
  <c r="AM17" i="52" s="1"/>
  <c r="AL17" i="52" a="1"/>
  <c r="AL17" i="52" s="1"/>
  <c r="AK17" i="52"/>
  <c r="AF17" i="52"/>
  <c r="Y17" i="52" a="1"/>
  <c r="Y17" i="52" s="1"/>
  <c r="X17" i="52"/>
  <c r="S17" i="52"/>
  <c r="Z17" i="52" s="1" a="1"/>
  <c r="Z17" i="52" s="1"/>
  <c r="M17" i="52" a="1"/>
  <c r="M17" i="52" s="1"/>
  <c r="L17" i="52" a="1"/>
  <c r="L17" i="52" s="1"/>
  <c r="K17" i="52"/>
  <c r="F17" i="52"/>
  <c r="AY16" i="52" a="1"/>
  <c r="AY16" i="52" s="1"/>
  <c r="AX16" i="52"/>
  <c r="AS16" i="52"/>
  <c r="AZ16" i="52" s="1" a="1"/>
  <c r="AZ16" i="52" s="1"/>
  <c r="AM16" i="52" a="1"/>
  <c r="AM16" i="52" s="1"/>
  <c r="AL16" i="52" a="1"/>
  <c r="AL16" i="52" s="1"/>
  <c r="AK16" i="52"/>
  <c r="AF16" i="52"/>
  <c r="Y16" i="52" a="1"/>
  <c r="Y16" i="52" s="1"/>
  <c r="X16" i="52"/>
  <c r="S16" i="52"/>
  <c r="Z16" i="52" s="1" a="1"/>
  <c r="Z16" i="52" s="1"/>
  <c r="M16" i="52" a="1"/>
  <c r="M16" i="52" s="1"/>
  <c r="L16" i="52" a="1"/>
  <c r="L16" i="52" s="1"/>
  <c r="K16" i="52"/>
  <c r="F16" i="52"/>
  <c r="AY15" i="52" a="1"/>
  <c r="AY15" i="52" s="1"/>
  <c r="AX15" i="52"/>
  <c r="AS15" i="52"/>
  <c r="AZ15" i="52" s="1" a="1"/>
  <c r="AZ15" i="52" s="1"/>
  <c r="AM15" i="52" a="1"/>
  <c r="AM15" i="52" s="1"/>
  <c r="AL15" i="52" a="1"/>
  <c r="AL15" i="52" s="1"/>
  <c r="AK15" i="52"/>
  <c r="AF15" i="52"/>
  <c r="Y15" i="52" a="1"/>
  <c r="Y15" i="52" s="1"/>
  <c r="X15" i="52"/>
  <c r="S15" i="52"/>
  <c r="Z15" i="52" s="1" a="1"/>
  <c r="Z15" i="52" s="1"/>
  <c r="M15" i="52" a="1"/>
  <c r="M15" i="52" s="1"/>
  <c r="L15" i="52" a="1"/>
  <c r="L15" i="52" s="1"/>
  <c r="K15" i="52"/>
  <c r="F15" i="52"/>
  <c r="AY14" i="52" a="1"/>
  <c r="AY14" i="52" s="1"/>
  <c r="AX14" i="52"/>
  <c r="AS14" i="52"/>
  <c r="AZ14" i="52" s="1" a="1"/>
  <c r="AZ14" i="52" s="1"/>
  <c r="AK14" i="52"/>
  <c r="AF14" i="52"/>
  <c r="Y14" i="52" a="1"/>
  <c r="Y14" i="52" s="1"/>
  <c r="X14" i="52"/>
  <c r="S14" i="52"/>
  <c r="Z14" i="52" s="1" a="1"/>
  <c r="Z14" i="52" s="1"/>
  <c r="M14" i="52" a="1"/>
  <c r="M14" i="52" s="1"/>
  <c r="L14" i="52" a="1"/>
  <c r="L14" i="52" s="1"/>
  <c r="K14" i="52"/>
  <c r="F14" i="52"/>
  <c r="AY13" i="52" a="1"/>
  <c r="AY13" i="52" s="1"/>
  <c r="AX13" i="52"/>
  <c r="AS13" i="52"/>
  <c r="AZ13" i="52" s="1" a="1"/>
  <c r="AZ13" i="52" s="1"/>
  <c r="AK13" i="52"/>
  <c r="AF13" i="52"/>
  <c r="X13" i="52"/>
  <c r="S13" i="52"/>
  <c r="M13" i="52" a="1"/>
  <c r="M13" i="52" s="1"/>
  <c r="L13" i="52" a="1"/>
  <c r="L13" i="52" s="1"/>
  <c r="K13" i="52"/>
  <c r="F13" i="52"/>
  <c r="AY12" i="52" a="1"/>
  <c r="AY12" i="52" s="1"/>
  <c r="AX12" i="52"/>
  <c r="AS12" i="52"/>
  <c r="AZ12" i="52" s="1" a="1"/>
  <c r="AZ12" i="52" s="1"/>
  <c r="AK12" i="52"/>
  <c r="AF12" i="52"/>
  <c r="X12" i="52"/>
  <c r="S12" i="52"/>
  <c r="M12" i="52" a="1"/>
  <c r="M12" i="52" s="1"/>
  <c r="L12" i="52" a="1"/>
  <c r="L12" i="52" s="1"/>
  <c r="K12" i="52"/>
  <c r="F12" i="52"/>
  <c r="AY11" i="52" a="1"/>
  <c r="AY11" i="52" s="1"/>
  <c r="AX11" i="52"/>
  <c r="AS11" i="52"/>
  <c r="AZ11" i="52" s="1" a="1"/>
  <c r="AZ11" i="52" s="1"/>
  <c r="AK11" i="52"/>
  <c r="AF11" i="52"/>
  <c r="X11" i="52"/>
  <c r="S11" i="52"/>
  <c r="M11" i="52" a="1"/>
  <c r="M11" i="52" s="1"/>
  <c r="L11" i="52" a="1"/>
  <c r="L11" i="52" s="1"/>
  <c r="K11" i="52"/>
  <c r="F11" i="52"/>
  <c r="AY10" i="52" a="1"/>
  <c r="AY10" i="52" s="1"/>
  <c r="AX10" i="52"/>
  <c r="AS10" i="52"/>
  <c r="AZ10" i="52" s="1" a="1"/>
  <c r="AZ10" i="52" s="1"/>
  <c r="AK10" i="52"/>
  <c r="AF10" i="52"/>
  <c r="X10" i="52"/>
  <c r="S10" i="52"/>
  <c r="M10" i="52" a="1"/>
  <c r="M10" i="52" s="1"/>
  <c r="L10" i="52" a="1"/>
  <c r="L10" i="52" s="1"/>
  <c r="K10" i="52"/>
  <c r="F10" i="52"/>
  <c r="AX9" i="52"/>
  <c r="AS9" i="52"/>
  <c r="AF9" i="52"/>
  <c r="X9" i="52"/>
  <c r="S9" i="52"/>
  <c r="M9" i="52" a="1"/>
  <c r="M9" i="52" s="1"/>
  <c r="L9" i="52" a="1"/>
  <c r="L9" i="52" s="1"/>
  <c r="K9" i="52"/>
  <c r="F9" i="52"/>
  <c r="AX8" i="52"/>
  <c r="AS8" i="52"/>
  <c r="AT37" i="52" s="1"/>
  <c r="AF8" i="52"/>
  <c r="S8" i="52"/>
  <c r="F8" i="52"/>
  <c r="AX7" i="52"/>
  <c r="AS7" i="52"/>
  <c r="AK7" i="52"/>
  <c r="AF7" i="52"/>
  <c r="S7" i="52"/>
  <c r="K7" i="52"/>
  <c r="F7" i="52"/>
  <c r="AX6" i="52"/>
  <c r="AS6" i="52"/>
  <c r="AK6" i="52"/>
  <c r="AF6" i="52"/>
  <c r="X6" i="52"/>
  <c r="S6" i="52"/>
  <c r="K6" i="52"/>
  <c r="F6" i="52"/>
  <c r="AS5" i="52"/>
  <c r="AK5" i="52"/>
  <c r="AF5" i="52"/>
  <c r="X5" i="52"/>
  <c r="S5" i="52"/>
  <c r="F5" i="52"/>
  <c r="AX4" i="52"/>
  <c r="AS4" i="52"/>
  <c r="AF4" i="52"/>
  <c r="X4" i="52"/>
  <c r="S4" i="52"/>
  <c r="K4" i="52"/>
  <c r="A23" i="52" s="1"/>
  <c r="F4" i="52"/>
  <c r="AS3" i="52"/>
  <c r="AT35" i="52" s="1"/>
  <c r="AF3" i="52"/>
  <c r="S3" i="52"/>
  <c r="F3" i="52"/>
  <c r="AN1" i="52"/>
  <c r="B69" i="52" s="1"/>
  <c r="AA1" i="52"/>
  <c r="AB1" i="52" s="1"/>
  <c r="O1" i="52"/>
  <c r="N1" i="52"/>
  <c r="B1" i="52"/>
  <c r="AO32" i="28"/>
  <c r="A69" i="28"/>
  <c r="AF65" i="28"/>
  <c r="AE65" i="28"/>
  <c r="AD65" i="28"/>
  <c r="AC65" i="28"/>
  <c r="AB65" i="28"/>
  <c r="AA65" i="28"/>
  <c r="O65" i="28"/>
  <c r="N65" i="28"/>
  <c r="B65" i="28"/>
  <c r="A65" i="28"/>
  <c r="AF64" i="28"/>
  <c r="AE64" i="28"/>
  <c r="AB64" i="28"/>
  <c r="AA64" i="28"/>
  <c r="AF63" i="28"/>
  <c r="AE63" i="28"/>
  <c r="AD63" i="28"/>
  <c r="AD64" i="28" s="1"/>
  <c r="AD66" i="28" s="1"/>
  <c r="AC63" i="28"/>
  <c r="AC64" i="28" s="1"/>
  <c r="AC66" i="28" s="1"/>
  <c r="AB63" i="28"/>
  <c r="AA63" i="28"/>
  <c r="S63" i="28"/>
  <c r="R63" i="28"/>
  <c r="Q63" i="28"/>
  <c r="P63" i="28"/>
  <c r="P64" i="28" s="1"/>
  <c r="P66" i="28" s="1"/>
  <c r="O63" i="28"/>
  <c r="N63" i="28"/>
  <c r="F63" i="28"/>
  <c r="E63" i="28"/>
  <c r="D63" i="28"/>
  <c r="D64" i="28" s="1"/>
  <c r="D66" i="28" s="1"/>
  <c r="C63" i="28"/>
  <c r="C64" i="28" s="1"/>
  <c r="C66" i="28" s="1"/>
  <c r="B63" i="28"/>
  <c r="A63" i="28"/>
  <c r="AT59" i="28"/>
  <c r="AS59" i="28"/>
  <c r="AR59" i="28"/>
  <c r="AP59" i="28"/>
  <c r="AO59" i="28"/>
  <c r="AT58" i="28"/>
  <c r="AS58" i="28"/>
  <c r="AR58" i="28"/>
  <c r="AP58" i="28"/>
  <c r="AO58" i="28"/>
  <c r="AT57" i="28"/>
  <c r="AS57" i="28"/>
  <c r="AR57" i="28"/>
  <c r="AP57" i="28"/>
  <c r="AO57" i="28"/>
  <c r="AT56" i="28"/>
  <c r="AS56" i="28"/>
  <c r="AR56" i="28"/>
  <c r="AP56" i="28"/>
  <c r="AO56" i="28"/>
  <c r="AT55" i="28"/>
  <c r="AS55" i="28"/>
  <c r="AR55" i="28"/>
  <c r="AP55" i="28"/>
  <c r="AO55" i="28"/>
  <c r="AT54" i="28"/>
  <c r="AS54" i="28"/>
  <c r="AR54" i="28"/>
  <c r="AP54" i="28"/>
  <c r="AO54" i="28"/>
  <c r="AT53" i="28"/>
  <c r="AS53" i="28"/>
  <c r="AR53" i="28"/>
  <c r="AP53" i="28"/>
  <c r="AO53" i="28"/>
  <c r="AT52" i="28"/>
  <c r="AS52" i="28"/>
  <c r="AR52" i="28"/>
  <c r="AP52" i="28"/>
  <c r="AO52" i="28"/>
  <c r="AT51" i="28"/>
  <c r="AS51" i="28"/>
  <c r="AR51" i="28"/>
  <c r="AP51" i="28"/>
  <c r="AO51" i="28"/>
  <c r="AT50" i="28"/>
  <c r="AS50" i="28"/>
  <c r="AR50" i="28"/>
  <c r="AP50" i="28"/>
  <c r="AO50" i="28"/>
  <c r="AT49" i="28"/>
  <c r="AS49" i="28"/>
  <c r="AR49" i="28"/>
  <c r="AP49" i="28"/>
  <c r="AO49" i="28"/>
  <c r="AT48" i="28"/>
  <c r="AS48" i="28"/>
  <c r="AR48" i="28"/>
  <c r="AP48" i="28"/>
  <c r="AO48" i="28"/>
  <c r="AT47" i="28"/>
  <c r="AS47" i="28"/>
  <c r="AR47" i="28"/>
  <c r="AP47" i="28"/>
  <c r="AO47" i="28"/>
  <c r="AT46" i="28"/>
  <c r="AS46" i="28"/>
  <c r="AR46" i="28"/>
  <c r="AP46" i="28"/>
  <c r="AO46" i="28"/>
  <c r="AT45" i="28"/>
  <c r="AS45" i="28"/>
  <c r="AR45" i="28"/>
  <c r="AP45" i="28"/>
  <c r="AO45" i="28"/>
  <c r="AL45" i="28" a="1"/>
  <c r="AL45" i="28" s="1"/>
  <c r="AK45" i="28"/>
  <c r="AF45" i="28"/>
  <c r="AM45" i="28" s="1" a="1"/>
  <c r="AM45" i="28" s="1"/>
  <c r="Y45" i="28" a="1"/>
  <c r="Y45" i="28" s="1"/>
  <c r="X45" i="28"/>
  <c r="S45" i="28"/>
  <c r="Z45" i="28" s="1" a="1"/>
  <c r="Z45" i="28" s="1"/>
  <c r="L45" i="28" a="1"/>
  <c r="L45" i="28" s="1"/>
  <c r="K45" i="28"/>
  <c r="F45" i="28"/>
  <c r="M45" i="28" s="1" a="1"/>
  <c r="M45" i="28" s="1"/>
  <c r="AT44" i="28"/>
  <c r="AS44" i="28"/>
  <c r="AR44" i="28"/>
  <c r="AP44" i="28"/>
  <c r="AO44" i="28"/>
  <c r="AL44" i="28" a="1"/>
  <c r="AL44" i="28" s="1"/>
  <c r="AK44" i="28"/>
  <c r="AF44" i="28"/>
  <c r="AM44" i="28" s="1" a="1"/>
  <c r="AM44" i="28" s="1"/>
  <c r="Y44" i="28" a="1"/>
  <c r="Y44" i="28" s="1"/>
  <c r="X44" i="28"/>
  <c r="S44" i="28"/>
  <c r="Z44" i="28" s="1" a="1"/>
  <c r="Z44" i="28" s="1"/>
  <c r="L44" i="28" a="1"/>
  <c r="L44" i="28" s="1"/>
  <c r="K44" i="28"/>
  <c r="F44" i="28"/>
  <c r="M44" i="28" s="1" a="1"/>
  <c r="M44" i="28" s="1"/>
  <c r="AT43" i="28"/>
  <c r="AS43" i="28"/>
  <c r="AR43" i="28"/>
  <c r="AP43" i="28"/>
  <c r="AO43" i="28"/>
  <c r="AL43" i="28" a="1"/>
  <c r="AL43" i="28" s="1"/>
  <c r="AK43" i="28"/>
  <c r="AF43" i="28"/>
  <c r="AM43" i="28" s="1" a="1"/>
  <c r="AM43" i="28" s="1"/>
  <c r="Y43" i="28" a="1"/>
  <c r="Y43" i="28" s="1"/>
  <c r="X43" i="28"/>
  <c r="S43" i="28"/>
  <c r="Z43" i="28" s="1" a="1"/>
  <c r="Z43" i="28" s="1"/>
  <c r="L43" i="28" a="1"/>
  <c r="L43" i="28" s="1"/>
  <c r="K43" i="28"/>
  <c r="F43" i="28"/>
  <c r="M43" i="28" s="1" a="1"/>
  <c r="M43" i="28" s="1"/>
  <c r="AT42" i="28"/>
  <c r="AS42" i="28"/>
  <c r="AR42" i="28"/>
  <c r="AP42" i="28"/>
  <c r="AO42" i="28"/>
  <c r="AL42" i="28" a="1"/>
  <c r="AL42" i="28" s="1"/>
  <c r="AK42" i="28"/>
  <c r="AF42" i="28"/>
  <c r="AM42" i="28" s="1" a="1"/>
  <c r="AM42" i="28" s="1"/>
  <c r="Y42" i="28" a="1"/>
  <c r="Y42" i="28" s="1"/>
  <c r="X42" i="28"/>
  <c r="S42" i="28"/>
  <c r="Z42" i="28" s="1" a="1"/>
  <c r="Z42" i="28" s="1"/>
  <c r="L42" i="28" a="1"/>
  <c r="L42" i="28" s="1"/>
  <c r="K42" i="28"/>
  <c r="F42" i="28"/>
  <c r="M42" i="28" s="1" a="1"/>
  <c r="M42" i="28" s="1"/>
  <c r="AT41" i="28"/>
  <c r="AS41" i="28"/>
  <c r="AR41" i="28"/>
  <c r="AP41" i="28"/>
  <c r="AO41" i="28"/>
  <c r="AL41" i="28" a="1"/>
  <c r="AL41" i="28" s="1"/>
  <c r="AK41" i="28"/>
  <c r="AF41" i="28"/>
  <c r="AM41" i="28" s="1" a="1"/>
  <c r="AM41" i="28" s="1"/>
  <c r="Y41" i="28" a="1"/>
  <c r="Y41" i="28" s="1"/>
  <c r="X41" i="28"/>
  <c r="S41" i="28"/>
  <c r="Z41" i="28" s="1" a="1"/>
  <c r="Z41" i="28" s="1"/>
  <c r="L41" i="28" a="1"/>
  <c r="L41" i="28" s="1"/>
  <c r="K41" i="28"/>
  <c r="F41" i="28"/>
  <c r="M41" i="28" s="1" a="1"/>
  <c r="M41" i="28" s="1"/>
  <c r="AT40" i="28"/>
  <c r="AS40" i="28"/>
  <c r="AR40" i="28"/>
  <c r="AP40" i="28"/>
  <c r="AO40" i="28"/>
  <c r="AL40" i="28" a="1"/>
  <c r="AL40" i="28" s="1"/>
  <c r="AK40" i="28"/>
  <c r="AF40" i="28"/>
  <c r="AM40" i="28" s="1" a="1"/>
  <c r="AM40" i="28" s="1"/>
  <c r="Y40" i="28" a="1"/>
  <c r="Y40" i="28" s="1"/>
  <c r="X40" i="28"/>
  <c r="S40" i="28"/>
  <c r="Z40" i="28" s="1" a="1"/>
  <c r="Z40" i="28" s="1"/>
  <c r="L40" i="28" a="1"/>
  <c r="L40" i="28" s="1"/>
  <c r="K40" i="28"/>
  <c r="F40" i="28"/>
  <c r="M40" i="28" s="1" a="1"/>
  <c r="M40" i="28" s="1"/>
  <c r="AS39" i="28"/>
  <c r="AR39" i="28"/>
  <c r="AO39" i="28"/>
  <c r="AL39" i="28" a="1"/>
  <c r="AL39" i="28" s="1"/>
  <c r="AK39" i="28"/>
  <c r="AF39" i="28"/>
  <c r="AM39" i="28" s="1" a="1"/>
  <c r="AM39" i="28" s="1"/>
  <c r="Y39" i="28" a="1"/>
  <c r="Y39" i="28" s="1"/>
  <c r="X39" i="28"/>
  <c r="S39" i="28"/>
  <c r="Z39" i="28" s="1" a="1"/>
  <c r="Z39" i="28" s="1"/>
  <c r="L39" i="28" a="1"/>
  <c r="L39" i="28" s="1"/>
  <c r="K39" i="28"/>
  <c r="F39" i="28"/>
  <c r="M39" i="28" s="1" a="1"/>
  <c r="M39" i="28" s="1"/>
  <c r="AS37" i="28"/>
  <c r="AR37" i="28"/>
  <c r="AO37" i="28"/>
  <c r="AL38" i="28" a="1"/>
  <c r="AL38" i="28" s="1"/>
  <c r="AK38" i="28"/>
  <c r="AF38" i="28"/>
  <c r="AM38" i="28" s="1" a="1"/>
  <c r="AM38" i="28" s="1"/>
  <c r="Y38" i="28" a="1"/>
  <c r="Y38" i="28" s="1"/>
  <c r="X38" i="28"/>
  <c r="S38" i="28"/>
  <c r="Z38" i="28" s="1" a="1"/>
  <c r="Z38" i="28" s="1"/>
  <c r="L38" i="28" a="1"/>
  <c r="L38" i="28" s="1"/>
  <c r="K38" i="28"/>
  <c r="F38" i="28"/>
  <c r="M38" i="28" s="1" a="1"/>
  <c r="M38" i="28" s="1"/>
  <c r="AS34" i="28"/>
  <c r="AR34" i="28"/>
  <c r="AO34" i="28"/>
  <c r="AL37" i="28" a="1"/>
  <c r="AL37" i="28" s="1"/>
  <c r="AK37" i="28"/>
  <c r="AF37" i="28"/>
  <c r="AM37" i="28" s="1" a="1"/>
  <c r="AM37" i="28" s="1"/>
  <c r="Y37" i="28" a="1"/>
  <c r="Y37" i="28" s="1"/>
  <c r="X37" i="28"/>
  <c r="S37" i="28"/>
  <c r="Z37" i="28" s="1" a="1"/>
  <c r="Z37" i="28" s="1"/>
  <c r="L37" i="28" a="1"/>
  <c r="L37" i="28" s="1"/>
  <c r="K37" i="28"/>
  <c r="F37" i="28"/>
  <c r="M37" i="28" s="1" a="1"/>
  <c r="M37" i="28" s="1"/>
  <c r="AS35" i="28"/>
  <c r="AR35" i="28"/>
  <c r="AO35" i="28"/>
  <c r="AL36" i="28" a="1"/>
  <c r="AL36" i="28" s="1"/>
  <c r="AK36" i="28"/>
  <c r="AF36" i="28"/>
  <c r="AM36" i="28" s="1" a="1"/>
  <c r="AM36" i="28" s="1"/>
  <c r="Y36" i="28" a="1"/>
  <c r="Y36" i="28" s="1"/>
  <c r="X36" i="28"/>
  <c r="S36" i="28"/>
  <c r="Z36" i="28" s="1" a="1"/>
  <c r="Z36" i="28" s="1"/>
  <c r="K36" i="28"/>
  <c r="F36" i="28"/>
  <c r="AS31" i="28"/>
  <c r="AR31" i="28"/>
  <c r="AO31" i="28"/>
  <c r="AL35" i="28" a="1"/>
  <c r="AL35" i="28" s="1"/>
  <c r="AK35" i="28"/>
  <c r="AF35" i="28"/>
  <c r="AM35" i="28" s="1" a="1"/>
  <c r="AM35" i="28" s="1"/>
  <c r="X35" i="28"/>
  <c r="S35" i="28"/>
  <c r="K35" i="28"/>
  <c r="F35" i="28"/>
  <c r="AS33" i="28"/>
  <c r="AR33" i="28"/>
  <c r="AO33" i="28"/>
  <c r="AL34" i="28" a="1"/>
  <c r="AL34" i="28" s="1"/>
  <c r="AK34" i="28"/>
  <c r="AF34" i="28"/>
  <c r="AM34" i="28" s="1" a="1"/>
  <c r="AM34" i="28" s="1"/>
  <c r="X34" i="28"/>
  <c r="S34" i="28"/>
  <c r="K34" i="28"/>
  <c r="F34" i="28"/>
  <c r="AS36" i="28"/>
  <c r="AR36" i="28"/>
  <c r="AO36" i="28"/>
  <c r="AL33" i="28" a="1"/>
  <c r="AL33" i="28" s="1"/>
  <c r="AK33" i="28"/>
  <c r="AF33" i="28"/>
  <c r="AM33" i="28" s="1" a="1"/>
  <c r="AM33" i="28" s="1"/>
  <c r="S33" i="28"/>
  <c r="F33" i="28"/>
  <c r="AS29" i="28"/>
  <c r="AR29" i="28"/>
  <c r="AO29" i="28"/>
  <c r="AL32" i="28" a="1"/>
  <c r="AL32" i="28" s="1"/>
  <c r="AK32" i="28"/>
  <c r="AF32" i="28"/>
  <c r="AM32" i="28" s="1" a="1"/>
  <c r="AM32" i="28" s="1"/>
  <c r="X32" i="28"/>
  <c r="S32" i="28"/>
  <c r="K32" i="28"/>
  <c r="F32" i="28"/>
  <c r="AS30" i="28"/>
  <c r="AR30" i="28"/>
  <c r="AO30" i="28"/>
  <c r="AL31" i="28" a="1"/>
  <c r="AL31" i="28" s="1"/>
  <c r="AK31" i="28"/>
  <c r="AF31" i="28"/>
  <c r="AM31" i="28" s="1" a="1"/>
  <c r="AM31" i="28" s="1"/>
  <c r="X31" i="28"/>
  <c r="S31" i="28"/>
  <c r="K31" i="28"/>
  <c r="F31" i="28"/>
  <c r="AS38" i="28"/>
  <c r="AR38" i="28"/>
  <c r="AO38" i="28"/>
  <c r="AL30" i="28" a="1"/>
  <c r="AL30" i="28" s="1"/>
  <c r="AK30" i="28"/>
  <c r="AF30" i="28"/>
  <c r="AM30" i="28" s="1" a="1"/>
  <c r="AM30" i="28" s="1"/>
  <c r="X30" i="28"/>
  <c r="S30" i="28"/>
  <c r="K30" i="28"/>
  <c r="F30" i="28"/>
  <c r="AS32" i="28"/>
  <c r="AR32" i="28"/>
  <c r="AL29" i="28" a="1"/>
  <c r="AL29" i="28" s="1"/>
  <c r="AK29" i="28"/>
  <c r="AF29" i="28"/>
  <c r="AM29" i="28" s="1" a="1"/>
  <c r="AM29" i="28" s="1"/>
  <c r="S29" i="28"/>
  <c r="F29" i="28"/>
  <c r="AA27" i="28"/>
  <c r="AB27" i="28" s="1"/>
  <c r="N27" i="28"/>
  <c r="O27" i="28" s="1"/>
  <c r="A27" i="28"/>
  <c r="B27" i="28" s="1"/>
  <c r="AO24" i="28"/>
  <c r="AN24" i="28"/>
  <c r="AB24" i="28"/>
  <c r="AA24" i="28"/>
  <c r="O24" i="28"/>
  <c r="N24" i="28"/>
  <c r="B24" i="28"/>
  <c r="A24" i="28"/>
  <c r="AS22" i="28"/>
  <c r="AR22" i="28"/>
  <c r="AQ22" i="28"/>
  <c r="AP22" i="28"/>
  <c r="AO22" i="28"/>
  <c r="AN22" i="28"/>
  <c r="AF22" i="28"/>
  <c r="AE22" i="28"/>
  <c r="AD22" i="28"/>
  <c r="AC22" i="28"/>
  <c r="AB22" i="28"/>
  <c r="AA22" i="28"/>
  <c r="S22" i="28"/>
  <c r="R22" i="28"/>
  <c r="Q22" i="28"/>
  <c r="P22" i="28"/>
  <c r="P23" i="28" s="1"/>
  <c r="P25" i="28" s="1"/>
  <c r="O22" i="28"/>
  <c r="N22" i="28"/>
  <c r="F22" i="28"/>
  <c r="E22" i="28"/>
  <c r="D22" i="28"/>
  <c r="C22" i="28"/>
  <c r="C23" i="28" s="1"/>
  <c r="C25" i="28" s="1"/>
  <c r="B22" i="28"/>
  <c r="A22" i="28"/>
  <c r="AY19" i="28" a="1"/>
  <c r="AY19" i="28" s="1"/>
  <c r="AX19" i="28"/>
  <c r="AS19" i="28"/>
  <c r="AZ19" i="28" s="1" a="1"/>
  <c r="AZ19" i="28" s="1"/>
  <c r="AL19" i="28" a="1"/>
  <c r="AL19" i="28" s="1"/>
  <c r="AK19" i="28"/>
  <c r="AF19" i="28"/>
  <c r="AM19" i="28" s="1" a="1"/>
  <c r="AM19" i="28" s="1"/>
  <c r="Y19" i="28" a="1"/>
  <c r="Y19" i="28" s="1"/>
  <c r="X19" i="28"/>
  <c r="S19" i="28"/>
  <c r="Z19" i="28" s="1" a="1"/>
  <c r="Z19" i="28" s="1"/>
  <c r="L19" i="28" a="1"/>
  <c r="L19" i="28" s="1"/>
  <c r="K19" i="28"/>
  <c r="F19" i="28"/>
  <c r="M19" i="28" s="1" a="1"/>
  <c r="M19" i="28" s="1"/>
  <c r="AY18" i="28" a="1"/>
  <c r="AY18" i="28" s="1"/>
  <c r="AX18" i="28"/>
  <c r="AS18" i="28"/>
  <c r="AZ18" i="28" s="1" a="1"/>
  <c r="AZ18" i="28" s="1"/>
  <c r="AL18" i="28" a="1"/>
  <c r="AL18" i="28" s="1"/>
  <c r="AK18" i="28"/>
  <c r="AF18" i="28"/>
  <c r="AM18" i="28" s="1" a="1"/>
  <c r="AM18" i="28" s="1"/>
  <c r="Y18" i="28" a="1"/>
  <c r="Y18" i="28" s="1"/>
  <c r="X18" i="28"/>
  <c r="S18" i="28"/>
  <c r="Z18" i="28" s="1" a="1"/>
  <c r="Z18" i="28" s="1"/>
  <c r="L18" i="28" a="1"/>
  <c r="L18" i="28" s="1"/>
  <c r="K18" i="28"/>
  <c r="F18" i="28"/>
  <c r="M18" i="28" s="1" a="1"/>
  <c r="M18" i="28" s="1"/>
  <c r="AY17" i="28" a="1"/>
  <c r="AY17" i="28" s="1"/>
  <c r="AX17" i="28"/>
  <c r="AS17" i="28"/>
  <c r="AZ17" i="28" s="1" a="1"/>
  <c r="AZ17" i="28" s="1"/>
  <c r="AL17" i="28" a="1"/>
  <c r="AL17" i="28" s="1"/>
  <c r="AK17" i="28"/>
  <c r="AF17" i="28"/>
  <c r="AM17" i="28" s="1" a="1"/>
  <c r="AM17" i="28" s="1"/>
  <c r="Y17" i="28" a="1"/>
  <c r="Y17" i="28" s="1"/>
  <c r="X17" i="28"/>
  <c r="S17" i="28"/>
  <c r="Z17" i="28" s="1" a="1"/>
  <c r="Z17" i="28" s="1"/>
  <c r="L17" i="28" a="1"/>
  <c r="L17" i="28" s="1"/>
  <c r="K17" i="28"/>
  <c r="F17" i="28"/>
  <c r="M17" i="28" s="1" a="1"/>
  <c r="M17" i="28" s="1"/>
  <c r="AY16" i="28" a="1"/>
  <c r="AY16" i="28" s="1"/>
  <c r="AX16" i="28"/>
  <c r="AS16" i="28"/>
  <c r="AZ16" i="28" s="1" a="1"/>
  <c r="AZ16" i="28" s="1"/>
  <c r="AL16" i="28" a="1"/>
  <c r="AL16" i="28" s="1"/>
  <c r="AK16" i="28"/>
  <c r="AF16" i="28"/>
  <c r="AM16" i="28" s="1" a="1"/>
  <c r="AM16" i="28" s="1"/>
  <c r="Y16" i="28" a="1"/>
  <c r="Y16" i="28" s="1"/>
  <c r="X16" i="28"/>
  <c r="S16" i="28"/>
  <c r="Z16" i="28" s="1" a="1"/>
  <c r="Z16" i="28" s="1"/>
  <c r="L16" i="28" a="1"/>
  <c r="L16" i="28" s="1"/>
  <c r="K16" i="28"/>
  <c r="F16" i="28"/>
  <c r="M16" i="28" s="1" a="1"/>
  <c r="M16" i="28" s="1"/>
  <c r="AY15" i="28" a="1"/>
  <c r="AY15" i="28" s="1"/>
  <c r="AX15" i="28"/>
  <c r="AS15" i="28"/>
  <c r="AZ15" i="28" s="1" a="1"/>
  <c r="AZ15" i="28" s="1"/>
  <c r="AL15" i="28" a="1"/>
  <c r="AL15" i="28" s="1"/>
  <c r="AK15" i="28"/>
  <c r="AF15" i="28"/>
  <c r="AM15" i="28" s="1" a="1"/>
  <c r="AM15" i="28" s="1"/>
  <c r="Y15" i="28" a="1"/>
  <c r="Y15" i="28" s="1"/>
  <c r="X15" i="28"/>
  <c r="S15" i="28"/>
  <c r="Z15" i="28" s="1" a="1"/>
  <c r="Z15" i="28" s="1"/>
  <c r="L15" i="28" a="1"/>
  <c r="L15" i="28" s="1"/>
  <c r="K15" i="28"/>
  <c r="F15" i="28"/>
  <c r="M15" i="28" s="1" a="1"/>
  <c r="M15" i="28" s="1"/>
  <c r="AY14" i="28" a="1"/>
  <c r="AY14" i="28" s="1"/>
  <c r="AX14" i="28"/>
  <c r="AS14" i="28"/>
  <c r="AZ14" i="28" s="1" a="1"/>
  <c r="AZ14" i="28" s="1"/>
  <c r="AK14" i="28"/>
  <c r="AF14" i="28"/>
  <c r="Y14" i="28" a="1"/>
  <c r="Y14" i="28" s="1"/>
  <c r="X14" i="28"/>
  <c r="S14" i="28"/>
  <c r="Z14" i="28" s="1" a="1"/>
  <c r="Z14" i="28" s="1"/>
  <c r="L14" i="28" a="1"/>
  <c r="L14" i="28" s="1"/>
  <c r="K14" i="28"/>
  <c r="F14" i="28"/>
  <c r="M14" i="28" s="1" a="1"/>
  <c r="M14" i="28" s="1"/>
  <c r="AY13" i="28" a="1"/>
  <c r="AY13" i="28" s="1"/>
  <c r="AX13" i="28"/>
  <c r="AS13" i="28"/>
  <c r="AZ13" i="28" s="1" a="1"/>
  <c r="AZ13" i="28" s="1"/>
  <c r="AK13" i="28"/>
  <c r="AF13" i="28"/>
  <c r="X13" i="28"/>
  <c r="S13" i="28"/>
  <c r="L13" i="28" a="1"/>
  <c r="L13" i="28" s="1"/>
  <c r="K13" i="28"/>
  <c r="F13" i="28"/>
  <c r="M13" i="28" s="1" a="1"/>
  <c r="M13" i="28" s="1"/>
  <c r="AY12" i="28" a="1"/>
  <c r="AY12" i="28" s="1"/>
  <c r="AX12" i="28"/>
  <c r="AS12" i="28"/>
  <c r="AZ12" i="28" s="1" a="1"/>
  <c r="AZ12" i="28" s="1"/>
  <c r="AK12" i="28"/>
  <c r="AF12" i="28"/>
  <c r="X12" i="28"/>
  <c r="S12" i="28"/>
  <c r="L12" i="28" a="1"/>
  <c r="L12" i="28" s="1"/>
  <c r="K12" i="28"/>
  <c r="F12" i="28"/>
  <c r="M12" i="28" s="1" a="1"/>
  <c r="M12" i="28" s="1"/>
  <c r="AY11" i="28" a="1"/>
  <c r="AY11" i="28" s="1"/>
  <c r="AX11" i="28"/>
  <c r="AS11" i="28"/>
  <c r="AZ11" i="28" s="1" a="1"/>
  <c r="AZ11" i="28" s="1"/>
  <c r="AK11" i="28"/>
  <c r="AF11" i="28"/>
  <c r="X11" i="28"/>
  <c r="S11" i="28"/>
  <c r="L11" i="28" a="1"/>
  <c r="L11" i="28" s="1"/>
  <c r="K11" i="28"/>
  <c r="F11" i="28"/>
  <c r="M11" i="28" s="1" a="1"/>
  <c r="M11" i="28" s="1"/>
  <c r="AY10" i="28" a="1"/>
  <c r="AY10" i="28" s="1"/>
  <c r="AX10" i="28"/>
  <c r="AS10" i="28"/>
  <c r="AZ10" i="28" s="1" a="1"/>
  <c r="AZ10" i="28" s="1"/>
  <c r="AK10" i="28"/>
  <c r="AF10" i="28"/>
  <c r="X10" i="28"/>
  <c r="S10" i="28"/>
  <c r="L10" i="28" a="1"/>
  <c r="L10" i="28" s="1"/>
  <c r="K10" i="28"/>
  <c r="F10" i="28"/>
  <c r="M10" i="28" s="1" a="1"/>
  <c r="M10" i="28" s="1"/>
  <c r="AX9" i="28"/>
  <c r="AS9" i="28"/>
  <c r="AF9" i="28"/>
  <c r="X9" i="28"/>
  <c r="S9" i="28"/>
  <c r="L9" i="28" a="1"/>
  <c r="L9" i="28" s="1"/>
  <c r="K9" i="28"/>
  <c r="F9" i="28"/>
  <c r="M9" i="28" s="1" a="1"/>
  <c r="M9" i="28" s="1"/>
  <c r="AX8" i="28"/>
  <c r="AS8" i="28"/>
  <c r="AF8" i="28"/>
  <c r="S8" i="28"/>
  <c r="K8" i="28"/>
  <c r="F8" i="28"/>
  <c r="AX7" i="28"/>
  <c r="AS7" i="28"/>
  <c r="AK7" i="28"/>
  <c r="AF7" i="28"/>
  <c r="S7" i="28"/>
  <c r="K7" i="28"/>
  <c r="F7" i="28"/>
  <c r="AX6" i="28"/>
  <c r="AS6" i="28"/>
  <c r="AK6" i="28"/>
  <c r="AF6" i="28"/>
  <c r="X6" i="28"/>
  <c r="S6" i="28"/>
  <c r="K6" i="28"/>
  <c r="F6" i="28"/>
  <c r="AS5" i="28"/>
  <c r="AK5" i="28"/>
  <c r="AF5" i="28"/>
  <c r="X5" i="28"/>
  <c r="S5" i="28"/>
  <c r="F5" i="28"/>
  <c r="AX4" i="28"/>
  <c r="AS4" i="28"/>
  <c r="AF4" i="28"/>
  <c r="X4" i="28"/>
  <c r="S4" i="28"/>
  <c r="K4" i="28"/>
  <c r="A23" i="28" s="1"/>
  <c r="F4" i="28"/>
  <c r="AS3" i="28"/>
  <c r="AF3" i="28"/>
  <c r="S3" i="28"/>
  <c r="F3" i="28"/>
  <c r="AN1" i="28"/>
  <c r="AA1" i="28"/>
  <c r="AB1" i="28" s="1"/>
  <c r="N1" i="28"/>
  <c r="O1" i="28" s="1"/>
  <c r="B1" i="28"/>
  <c r="AL31" i="53" l="1" a="1"/>
  <c r="AL31" i="53" s="1"/>
  <c r="AL46" i="53" s="1"/>
  <c r="AL36" i="53" a="1"/>
  <c r="AL36" i="53" s="1"/>
  <c r="AL40" i="53" a="1"/>
  <c r="AL40" i="53" s="1"/>
  <c r="AL35" i="53" a="1"/>
  <c r="AL35" i="53" s="1"/>
  <c r="AL39" i="53" a="1"/>
  <c r="AL39" i="53" s="1"/>
  <c r="L31" i="53" a="1"/>
  <c r="L31" i="53" s="1"/>
  <c r="C23" i="52"/>
  <c r="C25" i="52" s="1"/>
  <c r="L29" i="53" a="1"/>
  <c r="L29" i="53" s="1"/>
  <c r="AL32" i="53" a="1"/>
  <c r="AL32" i="53" s="1"/>
  <c r="AL38" i="53" a="1"/>
  <c r="AL38" i="53" s="1"/>
  <c r="AL34" i="53" a="1"/>
  <c r="AL34" i="53" s="1"/>
  <c r="AD65" i="53" s="1"/>
  <c r="AD67" i="53" s="1"/>
  <c r="AL37" i="53" a="1"/>
  <c r="AL37" i="53" s="1"/>
  <c r="AT31" i="53"/>
  <c r="AT29" i="53"/>
  <c r="O64" i="53"/>
  <c r="O66" i="53" s="1"/>
  <c r="AT32" i="53"/>
  <c r="A64" i="52"/>
  <c r="A66" i="52" s="1"/>
  <c r="K29" i="52" s="1"/>
  <c r="AQ52" i="54"/>
  <c r="V37" i="54"/>
  <c r="W37" i="54" s="1"/>
  <c r="AQ53" i="54"/>
  <c r="AQ43" i="53"/>
  <c r="AQ41" i="54"/>
  <c r="AQ55" i="53"/>
  <c r="AQ49" i="54"/>
  <c r="AQ49" i="53"/>
  <c r="AA67" i="53"/>
  <c r="AA26" i="54"/>
  <c r="AQ53" i="53"/>
  <c r="A26" i="54"/>
  <c r="AE66" i="54"/>
  <c r="AQ58" i="54"/>
  <c r="AQ42" i="54"/>
  <c r="AO1" i="54"/>
  <c r="AQ43" i="54"/>
  <c r="AA66" i="54"/>
  <c r="AQ44" i="54"/>
  <c r="AQ54" i="54"/>
  <c r="AB66" i="54"/>
  <c r="AI29" i="54"/>
  <c r="AJ29" i="54" s="1"/>
  <c r="V40" i="54"/>
  <c r="W40" i="54" s="1"/>
  <c r="V41" i="54"/>
  <c r="W41" i="54" s="1"/>
  <c r="AQ55" i="54"/>
  <c r="N67" i="54"/>
  <c r="V16" i="54"/>
  <c r="W16" i="54" s="1"/>
  <c r="I13" i="54"/>
  <c r="J13" i="54" s="1"/>
  <c r="AI18" i="54"/>
  <c r="AJ18" i="54" s="1"/>
  <c r="AQ59" i="54"/>
  <c r="AB67" i="54"/>
  <c r="I8" i="54"/>
  <c r="J8" i="54" s="1"/>
  <c r="AB26" i="54"/>
  <c r="AQ56" i="54"/>
  <c r="AQ50" i="54"/>
  <c r="B26" i="54"/>
  <c r="AI45" i="54"/>
  <c r="AJ45" i="54" s="1"/>
  <c r="I10" i="54"/>
  <c r="J10" i="54" s="1"/>
  <c r="I18" i="54"/>
  <c r="J18" i="54" s="1"/>
  <c r="I19" i="54"/>
  <c r="J19" i="54" s="1"/>
  <c r="AR60" i="54"/>
  <c r="I37" i="54"/>
  <c r="J37" i="54" s="1"/>
  <c r="AQ57" i="54"/>
  <c r="I14" i="54"/>
  <c r="J14" i="54" s="1"/>
  <c r="AS60" i="54"/>
  <c r="AQ51" i="54"/>
  <c r="A25" i="54"/>
  <c r="K3" i="54" s="1"/>
  <c r="N26" i="54"/>
  <c r="AQ48" i="54"/>
  <c r="I12" i="54"/>
  <c r="J12" i="54" s="1"/>
  <c r="V43" i="54"/>
  <c r="W43" i="54" s="1"/>
  <c r="AQ45" i="54"/>
  <c r="AF66" i="54"/>
  <c r="N64" i="54"/>
  <c r="N66" i="54" s="1"/>
  <c r="X29" i="54" s="1"/>
  <c r="AI31" i="54"/>
  <c r="AJ31" i="54" s="1"/>
  <c r="I44" i="54"/>
  <c r="J44" i="54" s="1"/>
  <c r="I45" i="54"/>
  <c r="J45" i="54" s="1"/>
  <c r="A67" i="54"/>
  <c r="AI17" i="54"/>
  <c r="AJ17" i="54" s="1"/>
  <c r="V36" i="54"/>
  <c r="W36" i="54" s="1"/>
  <c r="B67" i="54"/>
  <c r="AQ54" i="53"/>
  <c r="AI30" i="54"/>
  <c r="AJ30" i="54" s="1"/>
  <c r="AQ41" i="52"/>
  <c r="AQ42" i="52"/>
  <c r="AQ55" i="52"/>
  <c r="AI15" i="54"/>
  <c r="AJ15" i="54" s="1"/>
  <c r="AI36" i="54"/>
  <c r="AJ36" i="54" s="1"/>
  <c r="AI40" i="54"/>
  <c r="AJ40" i="54" s="1"/>
  <c r="AI42" i="54"/>
  <c r="AJ42" i="54" s="1"/>
  <c r="O67" i="54"/>
  <c r="AV13" i="54"/>
  <c r="AW13" i="54" s="1"/>
  <c r="AI16" i="54"/>
  <c r="AJ16" i="54" s="1"/>
  <c r="AQ46" i="54"/>
  <c r="AA67" i="54"/>
  <c r="AI37" i="54"/>
  <c r="AJ37" i="54" s="1"/>
  <c r="AQ40" i="54"/>
  <c r="AE67" i="54"/>
  <c r="AC67" i="54"/>
  <c r="N67" i="53"/>
  <c r="AA23" i="54"/>
  <c r="AA25" i="54" s="1"/>
  <c r="AK3" i="54" s="1"/>
  <c r="AD67" i="54"/>
  <c r="I15" i="54"/>
  <c r="J15" i="54" s="1"/>
  <c r="AI44" i="54"/>
  <c r="AJ44" i="54" s="1"/>
  <c r="AN26" i="54"/>
  <c r="AQ47" i="54"/>
  <c r="AF67" i="54"/>
  <c r="AV18" i="52"/>
  <c r="AW18" i="52" s="1"/>
  <c r="AO26" i="54"/>
  <c r="AO60" i="54"/>
  <c r="AI19" i="54"/>
  <c r="AJ19" i="54" s="1"/>
  <c r="AL7" i="54" a="1"/>
  <c r="AL7" i="54" s="1"/>
  <c r="AL3" i="54" a="1"/>
  <c r="AL3" i="54" s="1"/>
  <c r="AL6" i="54" a="1"/>
  <c r="AL6" i="54" s="1"/>
  <c r="AL4" i="54" a="1"/>
  <c r="AL4" i="54" s="1"/>
  <c r="AL5" i="54" a="1"/>
  <c r="AL5" i="54" s="1"/>
  <c r="I9" i="54"/>
  <c r="J9" i="54" s="1"/>
  <c r="AI33" i="54"/>
  <c r="AJ33" i="54" s="1"/>
  <c r="I11" i="54"/>
  <c r="J11" i="54" s="1"/>
  <c r="Y5" i="54" a="1"/>
  <c r="Y5" i="54" s="1"/>
  <c r="Y3" i="54" a="1"/>
  <c r="Y3" i="54" s="1"/>
  <c r="Y6" i="54" a="1"/>
  <c r="Y6" i="54" s="1"/>
  <c r="Y4" i="54" a="1"/>
  <c r="Y4" i="54" s="1"/>
  <c r="P65" i="54"/>
  <c r="P67" i="54" s="1"/>
  <c r="L4" i="54" a="1"/>
  <c r="L4" i="54" s="1"/>
  <c r="L3" i="54" a="1"/>
  <c r="L3" i="54" s="1"/>
  <c r="I16" i="54"/>
  <c r="J16" i="54" s="1"/>
  <c r="I17" i="54"/>
  <c r="J17" i="54" s="1"/>
  <c r="L5" i="54" a="1"/>
  <c r="L5" i="54" s="1"/>
  <c r="D24" i="54" s="1"/>
  <c r="D26" i="54" s="1"/>
  <c r="AT34" i="54"/>
  <c r="AV15" i="54"/>
  <c r="AW15" i="54" s="1"/>
  <c r="AT29" i="54"/>
  <c r="I40" i="54"/>
  <c r="J40" i="54" s="1"/>
  <c r="I41" i="54"/>
  <c r="J41" i="54" s="1"/>
  <c r="I42" i="54"/>
  <c r="J42" i="54" s="1"/>
  <c r="I43" i="54"/>
  <c r="J43" i="54" s="1"/>
  <c r="L29" i="54" a="1"/>
  <c r="L29" i="54" s="1"/>
  <c r="L31" i="54" a="1"/>
  <c r="L31" i="54" s="1"/>
  <c r="V18" i="54"/>
  <c r="W18" i="54" s="1"/>
  <c r="I39" i="54"/>
  <c r="J39" i="54" s="1"/>
  <c r="L34" i="54" a="1"/>
  <c r="L34" i="54" s="1"/>
  <c r="L36" i="54" a="1"/>
  <c r="L36" i="54" s="1"/>
  <c r="AV10" i="54"/>
  <c r="AW10" i="54" s="1"/>
  <c r="AN23" i="54"/>
  <c r="AN25" i="54" s="1"/>
  <c r="AX3" i="54" s="1"/>
  <c r="A64" i="54"/>
  <c r="A66" i="54" s="1"/>
  <c r="K29" i="54" s="1"/>
  <c r="AT39" i="54"/>
  <c r="AI32" i="54"/>
  <c r="AJ32" i="54" s="1"/>
  <c r="I38" i="54"/>
  <c r="J38" i="54" s="1"/>
  <c r="L30" i="54" a="1"/>
  <c r="L30" i="54" s="1"/>
  <c r="AO23" i="54"/>
  <c r="AO25" i="54" s="1"/>
  <c r="AX5" i="54" s="1"/>
  <c r="AT30" i="54"/>
  <c r="AV12" i="54"/>
  <c r="AW12" i="54" s="1"/>
  <c r="AV17" i="54"/>
  <c r="AW17" i="54" s="1"/>
  <c r="V39" i="54"/>
  <c r="W39" i="54" s="1"/>
  <c r="V42" i="54"/>
  <c r="W42" i="54" s="1"/>
  <c r="V15" i="54"/>
  <c r="W15" i="54" s="1"/>
  <c r="L7" i="54" a="1"/>
  <c r="L7" i="54" s="1"/>
  <c r="AI35" i="54"/>
  <c r="AJ35" i="54" s="1"/>
  <c r="AT31" i="54"/>
  <c r="AV14" i="54"/>
  <c r="AW14" i="54" s="1"/>
  <c r="AV19" i="54"/>
  <c r="AW19" i="54" s="1"/>
  <c r="AI34" i="54"/>
  <c r="AJ34" i="54" s="1"/>
  <c r="V38" i="54"/>
  <c r="W38" i="54" s="1"/>
  <c r="V44" i="54"/>
  <c r="W44" i="54" s="1"/>
  <c r="AT37" i="54"/>
  <c r="AK46" i="54"/>
  <c r="AI41" i="54"/>
  <c r="AJ41" i="54" s="1"/>
  <c r="AI43" i="54"/>
  <c r="AJ43" i="54" s="1"/>
  <c r="O26" i="54"/>
  <c r="B64" i="54"/>
  <c r="B66" i="54" s="1"/>
  <c r="K33" i="54" s="1"/>
  <c r="AT36" i="54"/>
  <c r="AI38" i="54"/>
  <c r="AJ38" i="54" s="1"/>
  <c r="V14" i="54"/>
  <c r="W14" i="54" s="1"/>
  <c r="AV16" i="54"/>
  <c r="AW16" i="54" s="1"/>
  <c r="V19" i="54"/>
  <c r="W19" i="54" s="1"/>
  <c r="AL46" i="54"/>
  <c r="L32" i="54" a="1"/>
  <c r="L32" i="54" s="1"/>
  <c r="L33" i="54" a="1"/>
  <c r="L33" i="54" s="1"/>
  <c r="D65" i="54" s="1"/>
  <c r="D67" i="54" s="1"/>
  <c r="AI39" i="54"/>
  <c r="AJ39" i="54" s="1"/>
  <c r="AT38" i="54"/>
  <c r="V45" i="54"/>
  <c r="W45" i="54" s="1"/>
  <c r="V17" i="54"/>
  <c r="W17" i="54" s="1"/>
  <c r="AV11" i="54"/>
  <c r="AW11" i="54" s="1"/>
  <c r="AM46" i="54"/>
  <c r="B23" i="54"/>
  <c r="B25" i="54" s="1"/>
  <c r="K5" i="54" s="1"/>
  <c r="O23" i="54"/>
  <c r="O25" i="54" s="1"/>
  <c r="AT35" i="54"/>
  <c r="N23" i="54"/>
  <c r="N25" i="54" s="1"/>
  <c r="X3" i="54" s="1"/>
  <c r="AB23" i="54"/>
  <c r="AB25" i="54" s="1"/>
  <c r="AV18" i="54"/>
  <c r="AW18" i="54" s="1"/>
  <c r="O64" i="54"/>
  <c r="O66" i="54" s="1"/>
  <c r="X33" i="54" s="1"/>
  <c r="L35" i="54" a="1"/>
  <c r="L35" i="54" s="1"/>
  <c r="C69" i="54"/>
  <c r="AQ57" i="53"/>
  <c r="AI44" i="53"/>
  <c r="AJ44" i="53" s="1"/>
  <c r="AI45" i="53"/>
  <c r="AJ45" i="53" s="1"/>
  <c r="AQ51" i="53"/>
  <c r="AI43" i="53"/>
  <c r="AJ43" i="53" s="1"/>
  <c r="V17" i="53"/>
  <c r="W17" i="53" s="1"/>
  <c r="A67" i="53"/>
  <c r="AQ44" i="53"/>
  <c r="AQ52" i="53"/>
  <c r="AQ59" i="53"/>
  <c r="I42" i="53"/>
  <c r="J42" i="53" s="1"/>
  <c r="AQ50" i="53"/>
  <c r="AV11" i="53"/>
  <c r="AW11" i="53" s="1"/>
  <c r="AQ47" i="53"/>
  <c r="N26" i="53"/>
  <c r="AO60" i="53"/>
  <c r="I37" i="53"/>
  <c r="J37" i="53" s="1"/>
  <c r="AV19" i="53"/>
  <c r="AW19" i="53" s="1"/>
  <c r="AR60" i="53"/>
  <c r="AA26" i="53"/>
  <c r="AS60" i="53"/>
  <c r="AQ45" i="53"/>
  <c r="AQ48" i="53"/>
  <c r="V37" i="53"/>
  <c r="W37" i="53" s="1"/>
  <c r="AN26" i="53"/>
  <c r="AV13" i="53"/>
  <c r="AW13" i="53" s="1"/>
  <c r="AO26" i="53"/>
  <c r="AQ58" i="53"/>
  <c r="AV15" i="53"/>
  <c r="AW15" i="53" s="1"/>
  <c r="B67" i="53"/>
  <c r="I41" i="53"/>
  <c r="J41" i="53" s="1"/>
  <c r="AQ46" i="53"/>
  <c r="O67" i="53"/>
  <c r="AV12" i="53"/>
  <c r="AW12" i="53" s="1"/>
  <c r="I39" i="53"/>
  <c r="J39" i="53" s="1"/>
  <c r="I43" i="53"/>
  <c r="J43" i="53" s="1"/>
  <c r="B64" i="53"/>
  <c r="B66" i="53" s="1"/>
  <c r="AB67" i="53"/>
  <c r="V14" i="52"/>
  <c r="W14" i="52" s="1"/>
  <c r="L5" i="53" a="1"/>
  <c r="L5" i="53" s="1"/>
  <c r="AO23" i="53"/>
  <c r="AO25" i="53" s="1"/>
  <c r="AQ56" i="53"/>
  <c r="AC67" i="53"/>
  <c r="AL3" i="52" a="1"/>
  <c r="AL3" i="52" s="1"/>
  <c r="AE66" i="52"/>
  <c r="AV17" i="53"/>
  <c r="AW17" i="53" s="1"/>
  <c r="L7" i="53" a="1"/>
  <c r="L7" i="53" s="1"/>
  <c r="A26" i="53"/>
  <c r="AV18" i="53"/>
  <c r="AW18" i="53" s="1"/>
  <c r="AV14" i="53"/>
  <c r="AW14" i="53" s="1"/>
  <c r="V18" i="53"/>
  <c r="W18" i="53" s="1"/>
  <c r="L3" i="53" a="1"/>
  <c r="L3" i="53" s="1"/>
  <c r="L4" i="53" a="1"/>
  <c r="L4" i="53" s="1"/>
  <c r="AV16" i="53"/>
  <c r="AW16" i="53" s="1"/>
  <c r="V19" i="53"/>
  <c r="W19" i="53" s="1"/>
  <c r="Y4" i="53" a="1"/>
  <c r="Y4" i="53" s="1"/>
  <c r="Y3" i="53" a="1"/>
  <c r="Y3" i="53" s="1"/>
  <c r="V16" i="53"/>
  <c r="W16" i="53" s="1"/>
  <c r="AV10" i="53"/>
  <c r="AW10" i="53" s="1"/>
  <c r="V14" i="53"/>
  <c r="W14" i="53" s="1"/>
  <c r="V15" i="53"/>
  <c r="W15" i="53" s="1"/>
  <c r="C65" i="53"/>
  <c r="C67" i="53" s="1"/>
  <c r="AT33" i="53"/>
  <c r="AI16" i="53"/>
  <c r="AJ16" i="53" s="1"/>
  <c r="B26" i="53"/>
  <c r="AT39" i="53"/>
  <c r="P65" i="53"/>
  <c r="P67" i="53" s="1"/>
  <c r="L33" i="53" a="1"/>
  <c r="L33" i="53" s="1"/>
  <c r="D65" i="53" s="1"/>
  <c r="D67" i="53" s="1"/>
  <c r="L34" i="53" a="1"/>
  <c r="L34" i="53" s="1"/>
  <c r="L35" i="53" a="1"/>
  <c r="L35" i="53" s="1"/>
  <c r="L36" i="53" a="1"/>
  <c r="L36" i="53" s="1"/>
  <c r="AT34" i="53"/>
  <c r="AT30" i="53"/>
  <c r="I8" i="53"/>
  <c r="J8" i="53" s="1"/>
  <c r="I12" i="53"/>
  <c r="J12" i="53" s="1"/>
  <c r="I16" i="53"/>
  <c r="J16" i="53" s="1"/>
  <c r="O26" i="53"/>
  <c r="AI15" i="53"/>
  <c r="AJ15" i="53" s="1"/>
  <c r="AI19" i="53"/>
  <c r="AJ19" i="53" s="1"/>
  <c r="AT41" i="53"/>
  <c r="V36" i="53"/>
  <c r="W36" i="53" s="1"/>
  <c r="I11" i="53"/>
  <c r="J11" i="53" s="1"/>
  <c r="I15" i="53"/>
  <c r="J15" i="53" s="1"/>
  <c r="I19" i="53"/>
  <c r="J19" i="53" s="1"/>
  <c r="AB26" i="53"/>
  <c r="AI18" i="53"/>
  <c r="AJ18" i="53" s="1"/>
  <c r="I40" i="53"/>
  <c r="J40" i="53" s="1"/>
  <c r="I44" i="53"/>
  <c r="J44" i="53" s="1"/>
  <c r="I10" i="53"/>
  <c r="J10" i="53" s="1"/>
  <c r="I14" i="53"/>
  <c r="J14" i="53" s="1"/>
  <c r="I18" i="53"/>
  <c r="J18" i="53" s="1"/>
  <c r="AC23" i="53"/>
  <c r="AC25" i="53" s="1"/>
  <c r="AL3" i="53" s="1" a="1"/>
  <c r="AL3" i="53" s="1"/>
  <c r="I45" i="53"/>
  <c r="J45" i="53" s="1"/>
  <c r="I38" i="53"/>
  <c r="J38" i="53" s="1"/>
  <c r="V41" i="53"/>
  <c r="W41" i="53" s="1"/>
  <c r="V42" i="53"/>
  <c r="W42" i="53" s="1"/>
  <c r="AI17" i="53"/>
  <c r="AJ17" i="53" s="1"/>
  <c r="L30" i="53" a="1"/>
  <c r="L30" i="53" s="1"/>
  <c r="V40" i="53"/>
  <c r="W40" i="53" s="1"/>
  <c r="AO1" i="53"/>
  <c r="AT36" i="53"/>
  <c r="V43" i="53"/>
  <c r="W43" i="53" s="1"/>
  <c r="V45" i="53"/>
  <c r="W45" i="53" s="1"/>
  <c r="I9" i="53"/>
  <c r="J9" i="53" s="1"/>
  <c r="I13" i="53"/>
  <c r="J13" i="53" s="1"/>
  <c r="I17" i="53"/>
  <c r="J17" i="53" s="1"/>
  <c r="V38" i="53"/>
  <c r="W38" i="53" s="1"/>
  <c r="V39" i="53"/>
  <c r="W39" i="53" s="1"/>
  <c r="AI41" i="53"/>
  <c r="AJ41" i="53" s="1"/>
  <c r="AI42" i="53"/>
  <c r="AJ42" i="53" s="1"/>
  <c r="V44" i="53"/>
  <c r="W44" i="53" s="1"/>
  <c r="C69" i="53"/>
  <c r="AQ44" i="52"/>
  <c r="AQ53" i="52"/>
  <c r="N64" i="52"/>
  <c r="N66" i="52" s="1"/>
  <c r="X29" i="52" s="1"/>
  <c r="B64" i="52"/>
  <c r="B66" i="52" s="1"/>
  <c r="K33" i="52" s="1"/>
  <c r="AL5" i="52" a="1"/>
  <c r="AL5" i="52" s="1"/>
  <c r="AL7" i="52" a="1"/>
  <c r="AL7" i="52" s="1"/>
  <c r="AV12" i="52"/>
  <c r="AW12" i="52" s="1"/>
  <c r="AQ45" i="52"/>
  <c r="AQ58" i="52"/>
  <c r="A67" i="52"/>
  <c r="I40" i="52"/>
  <c r="J40" i="52" s="1"/>
  <c r="AQ52" i="52"/>
  <c r="AA67" i="52"/>
  <c r="AI35" i="52"/>
  <c r="AJ35" i="52" s="1"/>
  <c r="AV16" i="52"/>
  <c r="AW16" i="52" s="1"/>
  <c r="AV14" i="52"/>
  <c r="AW14" i="52" s="1"/>
  <c r="V18" i="52"/>
  <c r="W18" i="52" s="1"/>
  <c r="AI32" i="52"/>
  <c r="AJ32" i="52" s="1"/>
  <c r="D23" i="52"/>
  <c r="D25" i="52" s="1"/>
  <c r="AQ56" i="52"/>
  <c r="A26" i="52"/>
  <c r="AV11" i="52"/>
  <c r="AW11" i="52" s="1"/>
  <c r="V16" i="52"/>
  <c r="W16" i="52" s="1"/>
  <c r="AV10" i="52"/>
  <c r="AW10" i="52" s="1"/>
  <c r="O26" i="52"/>
  <c r="AR60" i="52"/>
  <c r="I37" i="52"/>
  <c r="J37" i="52" s="1"/>
  <c r="I41" i="52"/>
  <c r="J41" i="52" s="1"/>
  <c r="AQ57" i="52"/>
  <c r="AS60" i="52"/>
  <c r="AI34" i="52"/>
  <c r="AJ34" i="52" s="1"/>
  <c r="V38" i="52"/>
  <c r="W38" i="52" s="1"/>
  <c r="AA66" i="52"/>
  <c r="AV13" i="52"/>
  <c r="AW13" i="52" s="1"/>
  <c r="V39" i="52"/>
  <c r="W39" i="52" s="1"/>
  <c r="AI43" i="52"/>
  <c r="AJ43" i="52" s="1"/>
  <c r="AQ54" i="52"/>
  <c r="AB66" i="52"/>
  <c r="AN26" i="52"/>
  <c r="AI31" i="52"/>
  <c r="AJ31" i="52" s="1"/>
  <c r="AQ51" i="52"/>
  <c r="AO26" i="52"/>
  <c r="V41" i="52"/>
  <c r="W41" i="52" s="1"/>
  <c r="I42" i="52"/>
  <c r="J42" i="52" s="1"/>
  <c r="AQ48" i="52"/>
  <c r="AF66" i="52"/>
  <c r="V36" i="52"/>
  <c r="W36" i="52" s="1"/>
  <c r="AI33" i="52"/>
  <c r="AJ33" i="52" s="1"/>
  <c r="AI40" i="52"/>
  <c r="AJ40" i="52" s="1"/>
  <c r="AQ43" i="52"/>
  <c r="B67" i="52"/>
  <c r="N67" i="52"/>
  <c r="V15" i="52"/>
  <c r="W15" i="52" s="1"/>
  <c r="V17" i="52"/>
  <c r="W17" i="52" s="1"/>
  <c r="V19" i="52"/>
  <c r="W19" i="52" s="1"/>
  <c r="AQ49" i="52"/>
  <c r="O67" i="52"/>
  <c r="AI39" i="52"/>
  <c r="AJ39" i="52" s="1"/>
  <c r="AI41" i="52"/>
  <c r="AJ41" i="52" s="1"/>
  <c r="I43" i="52"/>
  <c r="J43" i="52" s="1"/>
  <c r="AQ46" i="52"/>
  <c r="AB67" i="52"/>
  <c r="O64" i="52"/>
  <c r="O66" i="52" s="1"/>
  <c r="X33" i="52" s="1"/>
  <c r="AQ40" i="52"/>
  <c r="AQ59" i="52"/>
  <c r="AC67" i="52"/>
  <c r="AO23" i="52"/>
  <c r="AO25" i="52" s="1"/>
  <c r="AX5" i="52" s="1"/>
  <c r="AI42" i="52"/>
  <c r="AJ42" i="52" s="1"/>
  <c r="AE67" i="52"/>
  <c r="B26" i="52"/>
  <c r="V43" i="52"/>
  <c r="W43" i="52" s="1"/>
  <c r="AQ50" i="52"/>
  <c r="AF67" i="52"/>
  <c r="AB23" i="52"/>
  <c r="AB25" i="52" s="1"/>
  <c r="AV15" i="52"/>
  <c r="AW15" i="52" s="1"/>
  <c r="AV17" i="52"/>
  <c r="AW17" i="52" s="1"/>
  <c r="AV19" i="52"/>
  <c r="AW19" i="52" s="1"/>
  <c r="AO60" i="52"/>
  <c r="I39" i="52"/>
  <c r="J39" i="52" s="1"/>
  <c r="AQ47" i="52"/>
  <c r="AI45" i="52"/>
  <c r="AJ45" i="52" s="1"/>
  <c r="L29" i="52" a="1"/>
  <c r="L29" i="52" s="1"/>
  <c r="L31" i="52" a="1"/>
  <c r="L31" i="52" s="1"/>
  <c r="AT36" i="52"/>
  <c r="AI44" i="52"/>
  <c r="AJ44" i="52" s="1"/>
  <c r="L32" i="52" a="1"/>
  <c r="L32" i="52" s="1"/>
  <c r="L33" i="52" a="1"/>
  <c r="L33" i="52" s="1"/>
  <c r="D65" i="52" s="1"/>
  <c r="D67" i="52" s="1"/>
  <c r="L34" i="52" a="1"/>
  <c r="L34" i="52" s="1"/>
  <c r="L35" i="52" a="1"/>
  <c r="L35" i="52" s="1"/>
  <c r="L36" i="52" a="1"/>
  <c r="L36" i="52" s="1"/>
  <c r="I18" i="52"/>
  <c r="J18" i="52" s="1"/>
  <c r="AT33" i="52"/>
  <c r="I16" i="52"/>
  <c r="J16" i="52" s="1"/>
  <c r="AI15" i="52"/>
  <c r="AJ15" i="52" s="1"/>
  <c r="AI17" i="52"/>
  <c r="AJ17" i="52" s="1"/>
  <c r="AI19" i="52"/>
  <c r="AJ19" i="52" s="1"/>
  <c r="N23" i="52"/>
  <c r="N25" i="52" s="1"/>
  <c r="X3" i="52" s="1"/>
  <c r="V37" i="52"/>
  <c r="W37" i="52" s="1"/>
  <c r="V40" i="52"/>
  <c r="W40" i="52" s="1"/>
  <c r="O23" i="52"/>
  <c r="O25" i="52" s="1"/>
  <c r="P23" i="52"/>
  <c r="P25" i="52" s="1"/>
  <c r="Y3" i="52" s="1" a="1"/>
  <c r="Y3" i="52" s="1"/>
  <c r="AT32" i="52"/>
  <c r="AI37" i="52"/>
  <c r="AJ37" i="52" s="1"/>
  <c r="AI38" i="52"/>
  <c r="AJ38" i="52" s="1"/>
  <c r="Y29" i="52" a="1"/>
  <c r="Y29" i="52" s="1"/>
  <c r="Y30" i="52" a="1"/>
  <c r="Y30" i="52" s="1"/>
  <c r="Y31" i="52" a="1"/>
  <c r="Y31" i="52" s="1"/>
  <c r="I14" i="52"/>
  <c r="J14" i="52" s="1"/>
  <c r="AT29" i="52"/>
  <c r="I9" i="52"/>
  <c r="J9" i="52" s="1"/>
  <c r="I11" i="52"/>
  <c r="J11" i="52" s="1"/>
  <c r="I13" i="52"/>
  <c r="J13" i="52" s="1"/>
  <c r="I15" i="52"/>
  <c r="J15" i="52" s="1"/>
  <c r="I17" i="52"/>
  <c r="J17" i="52" s="1"/>
  <c r="I19" i="52"/>
  <c r="J19" i="52" s="1"/>
  <c r="AI30" i="52"/>
  <c r="AJ30" i="52" s="1"/>
  <c r="AL4" i="52" a="1"/>
  <c r="AL4" i="52" s="1"/>
  <c r="N26" i="52"/>
  <c r="AM46" i="52"/>
  <c r="AL6" i="52" a="1"/>
  <c r="AL6" i="52" s="1"/>
  <c r="AT38" i="52"/>
  <c r="AT34" i="52"/>
  <c r="I45" i="52"/>
  <c r="J45" i="52" s="1"/>
  <c r="AA26" i="52"/>
  <c r="AI29" i="52"/>
  <c r="AJ29" i="52" s="1"/>
  <c r="AI36" i="52"/>
  <c r="AJ36" i="52" s="1"/>
  <c r="V42" i="52"/>
  <c r="W42" i="52" s="1"/>
  <c r="AI16" i="52"/>
  <c r="AJ16" i="52" s="1"/>
  <c r="AI18" i="52"/>
  <c r="AJ18" i="52" s="1"/>
  <c r="AB26" i="52"/>
  <c r="AT39" i="52"/>
  <c r="AT30" i="52"/>
  <c r="I44" i="52"/>
  <c r="J44" i="52" s="1"/>
  <c r="I10" i="52"/>
  <c r="J10" i="52" s="1"/>
  <c r="AL46" i="52"/>
  <c r="I12" i="52"/>
  <c r="J12" i="52" s="1"/>
  <c r="AN23" i="52"/>
  <c r="AN25" i="52" s="1"/>
  <c r="AX3" i="52" s="1"/>
  <c r="AT31" i="52"/>
  <c r="V44" i="52"/>
  <c r="W44" i="52" s="1"/>
  <c r="A25" i="52"/>
  <c r="K3" i="52" s="1"/>
  <c r="I38" i="52"/>
  <c r="J38" i="52" s="1"/>
  <c r="V45" i="52"/>
  <c r="W45" i="52" s="1"/>
  <c r="C69" i="52"/>
  <c r="AO1" i="52"/>
  <c r="AA23" i="52"/>
  <c r="AA25" i="52" s="1"/>
  <c r="AK46" i="52"/>
  <c r="AQ52" i="28"/>
  <c r="AQ45" i="28"/>
  <c r="AQ54" i="28"/>
  <c r="AQ51" i="28"/>
  <c r="AQ48" i="28"/>
  <c r="AQ57" i="28"/>
  <c r="AQ55" i="28"/>
  <c r="AQ53" i="28"/>
  <c r="AQ50" i="28"/>
  <c r="AQ58" i="28"/>
  <c r="AQ43" i="28"/>
  <c r="AQ41" i="28"/>
  <c r="AQ56" i="28"/>
  <c r="AQ40" i="28"/>
  <c r="AQ47" i="28"/>
  <c r="AQ42" i="28"/>
  <c r="AQ44" i="28"/>
  <c r="AQ46" i="28"/>
  <c r="AQ49" i="28"/>
  <c r="AQ59" i="28"/>
  <c r="A25" i="28"/>
  <c r="K3" i="28" s="1"/>
  <c r="AT32" i="28"/>
  <c r="AT29" i="28"/>
  <c r="AT34" i="28"/>
  <c r="AT30" i="28"/>
  <c r="AT33" i="28"/>
  <c r="AT36" i="28"/>
  <c r="AN26" i="28"/>
  <c r="AO26" i="28"/>
  <c r="V43" i="28"/>
  <c r="W43" i="28" s="1"/>
  <c r="N64" i="28"/>
  <c r="N66" i="28" s="1"/>
  <c r="X29" i="28" s="1"/>
  <c r="V38" i="28"/>
  <c r="W38" i="28" s="1"/>
  <c r="A64" i="28"/>
  <c r="A66" i="28" s="1"/>
  <c r="K29" i="28" s="1"/>
  <c r="O64" i="28"/>
  <c r="O66" i="28" s="1"/>
  <c r="X33" i="28" s="1"/>
  <c r="AE66" i="28"/>
  <c r="V36" i="28"/>
  <c r="W36" i="28" s="1"/>
  <c r="AB26" i="28"/>
  <c r="B64" i="28"/>
  <c r="B66" i="28" s="1"/>
  <c r="K33" i="28" s="1"/>
  <c r="I11" i="28"/>
  <c r="J11" i="28" s="1"/>
  <c r="B23" i="28"/>
  <c r="B25" i="28" s="1"/>
  <c r="K5" i="28" s="1"/>
  <c r="K20" i="28" s="1"/>
  <c r="AB23" i="28"/>
  <c r="AB25" i="28" s="1"/>
  <c r="AK8" i="28" s="1"/>
  <c r="AA23" i="28"/>
  <c r="AA25" i="28" s="1"/>
  <c r="AK4" i="28" s="1"/>
  <c r="I16" i="28"/>
  <c r="J16" i="28" s="1"/>
  <c r="I9" i="28"/>
  <c r="J9" i="28" s="1"/>
  <c r="I14" i="28"/>
  <c r="J14" i="28" s="1"/>
  <c r="AI16" i="28"/>
  <c r="AJ16" i="28" s="1"/>
  <c r="O26" i="28"/>
  <c r="AR60" i="28"/>
  <c r="AI45" i="28"/>
  <c r="AJ45" i="28" s="1"/>
  <c r="AA26" i="28"/>
  <c r="AS60" i="28"/>
  <c r="V37" i="28"/>
  <c r="W37" i="28" s="1"/>
  <c r="AI39" i="28"/>
  <c r="AJ39" i="28" s="1"/>
  <c r="AA66" i="28"/>
  <c r="AI31" i="28"/>
  <c r="AJ31" i="28" s="1"/>
  <c r="AB66" i="28"/>
  <c r="AF66" i="28"/>
  <c r="V19" i="28"/>
  <c r="W19" i="28" s="1"/>
  <c r="AI33" i="28"/>
  <c r="AJ33" i="28" s="1"/>
  <c r="A67" i="28"/>
  <c r="V15" i="28"/>
  <c r="W15" i="28" s="1"/>
  <c r="B67" i="28"/>
  <c r="I41" i="28"/>
  <c r="J41" i="28" s="1"/>
  <c r="N67" i="28"/>
  <c r="O67" i="28"/>
  <c r="AA67" i="28"/>
  <c r="AB67" i="28"/>
  <c r="I43" i="28"/>
  <c r="J43" i="28" s="1"/>
  <c r="I44" i="28"/>
  <c r="J44" i="28" s="1"/>
  <c r="AC67" i="28"/>
  <c r="AD67" i="28"/>
  <c r="A26" i="28"/>
  <c r="V44" i="28"/>
  <c r="W44" i="28" s="1"/>
  <c r="AE67" i="28"/>
  <c r="AF67" i="28"/>
  <c r="N26" i="28"/>
  <c r="AO60" i="28"/>
  <c r="Y3" i="28" a="1"/>
  <c r="Y3" i="28" s="1"/>
  <c r="Y6" i="28" a="1"/>
  <c r="Y6" i="28" s="1"/>
  <c r="Y5" i="28" a="1"/>
  <c r="Y5" i="28" s="1"/>
  <c r="Y4" i="28" a="1"/>
  <c r="Y4" i="28" s="1"/>
  <c r="AN23" i="28"/>
  <c r="AN25" i="28" s="1"/>
  <c r="AX3" i="28" s="1"/>
  <c r="AV15" i="28"/>
  <c r="AW15" i="28" s="1"/>
  <c r="AV19" i="28"/>
  <c r="AW19" i="28" s="1"/>
  <c r="AT35" i="28"/>
  <c r="AI42" i="28"/>
  <c r="AJ42" i="28" s="1"/>
  <c r="L29" i="28" a="1"/>
  <c r="L29" i="28" s="1"/>
  <c r="L31" i="28" a="1"/>
  <c r="L31" i="28" s="1"/>
  <c r="AV10" i="28"/>
  <c r="AW10" i="28" s="1"/>
  <c r="AI43" i="28"/>
  <c r="AJ43" i="28" s="1"/>
  <c r="AI44" i="28"/>
  <c r="AJ44" i="28" s="1"/>
  <c r="L32" i="28" a="1"/>
  <c r="L32" i="28" s="1"/>
  <c r="L33" i="28" a="1"/>
  <c r="L33" i="28" s="1"/>
  <c r="D65" i="28" s="1"/>
  <c r="D67" i="28" s="1"/>
  <c r="L34" i="28" a="1"/>
  <c r="L34" i="28" s="1"/>
  <c r="L35" i="28" a="1"/>
  <c r="L35" i="28" s="1"/>
  <c r="L36" i="28" a="1"/>
  <c r="L36" i="28" s="1"/>
  <c r="B69" i="28"/>
  <c r="C69" i="28" s="1"/>
  <c r="AO1" i="28"/>
  <c r="I10" i="28"/>
  <c r="J10" i="28" s="1"/>
  <c r="I15" i="28"/>
  <c r="J15" i="28" s="1"/>
  <c r="V18" i="28"/>
  <c r="W18" i="28" s="1"/>
  <c r="I19" i="28"/>
  <c r="J19" i="28" s="1"/>
  <c r="L30" i="28" a="1"/>
  <c r="L30" i="28" s="1"/>
  <c r="AI34" i="28"/>
  <c r="AJ34" i="28" s="1"/>
  <c r="AI38" i="28"/>
  <c r="AJ38" i="28" s="1"/>
  <c r="AO23" i="28"/>
  <c r="AO25" i="28" s="1"/>
  <c r="AX5" i="28" s="1"/>
  <c r="O23" i="28"/>
  <c r="O25" i="28" s="1"/>
  <c r="AV11" i="28"/>
  <c r="AW11" i="28" s="1"/>
  <c r="V14" i="28"/>
  <c r="W14" i="28" s="1"/>
  <c r="AV16" i="28"/>
  <c r="AW16" i="28" s="1"/>
  <c r="AI17" i="28"/>
  <c r="AJ17" i="28" s="1"/>
  <c r="AI37" i="28"/>
  <c r="AJ37" i="28" s="1"/>
  <c r="B26" i="28"/>
  <c r="AI30" i="28"/>
  <c r="AJ30" i="28" s="1"/>
  <c r="I40" i="28"/>
  <c r="J40" i="28" s="1"/>
  <c r="Y29" i="28" a="1"/>
  <c r="Y29" i="28" s="1"/>
  <c r="Y30" i="28" a="1"/>
  <c r="Y30" i="28" s="1"/>
  <c r="Y31" i="28" a="1"/>
  <c r="Y31" i="28" s="1"/>
  <c r="AV12" i="28"/>
  <c r="AW12" i="28" s="1"/>
  <c r="AI36" i="28"/>
  <c r="AJ36" i="28" s="1"/>
  <c r="I45" i="28"/>
  <c r="J45" i="28" s="1"/>
  <c r="N23" i="28"/>
  <c r="N25" i="28" s="1"/>
  <c r="X3" i="28" s="1"/>
  <c r="AI18" i="28"/>
  <c r="AJ18" i="28" s="1"/>
  <c r="AT37" i="28"/>
  <c r="I12" i="28"/>
  <c r="J12" i="28" s="1"/>
  <c r="AM46" i="28"/>
  <c r="I39" i="28"/>
  <c r="J39" i="28" s="1"/>
  <c r="I42" i="28"/>
  <c r="J42" i="28" s="1"/>
  <c r="AV13" i="28"/>
  <c r="AW13" i="28" s="1"/>
  <c r="V16" i="28"/>
  <c r="W16" i="28" s="1"/>
  <c r="I17" i="28"/>
  <c r="J17" i="28" s="1"/>
  <c r="AI29" i="28"/>
  <c r="AJ29" i="28" s="1"/>
  <c r="AT39" i="28"/>
  <c r="AI32" i="28"/>
  <c r="AJ32" i="28" s="1"/>
  <c r="I38" i="28"/>
  <c r="J38" i="28" s="1"/>
  <c r="V40" i="28"/>
  <c r="W40" i="28" s="1"/>
  <c r="V45" i="28"/>
  <c r="W45" i="28" s="1"/>
  <c r="AV14" i="28"/>
  <c r="AW14" i="28" s="1"/>
  <c r="AI15" i="28"/>
  <c r="AJ15" i="28" s="1"/>
  <c r="AV18" i="28"/>
  <c r="AW18" i="28" s="1"/>
  <c r="AI19" i="28"/>
  <c r="AJ19" i="28" s="1"/>
  <c r="AL46" i="28"/>
  <c r="AI35" i="28"/>
  <c r="AJ35" i="28" s="1"/>
  <c r="V41" i="28"/>
  <c r="W41" i="28" s="1"/>
  <c r="AT31" i="28"/>
  <c r="I13" i="28"/>
  <c r="J13" i="28" s="1"/>
  <c r="I37" i="28"/>
  <c r="J37" i="28" s="1"/>
  <c r="V39" i="28"/>
  <c r="W39" i="28" s="1"/>
  <c r="AI40" i="28"/>
  <c r="AJ40" i="28" s="1"/>
  <c r="V42" i="28"/>
  <c r="W42" i="28" s="1"/>
  <c r="AC23" i="28"/>
  <c r="AC25" i="28" s="1"/>
  <c r="AL6" i="28" s="1" a="1"/>
  <c r="AL6" i="28" s="1"/>
  <c r="AV17" i="28"/>
  <c r="AW17" i="28" s="1"/>
  <c r="V17" i="28"/>
  <c r="W17" i="28" s="1"/>
  <c r="I18" i="28"/>
  <c r="J18" i="28" s="1"/>
  <c r="AI41" i="28"/>
  <c r="AJ41" i="28" s="1"/>
  <c r="L3" i="28" a="1"/>
  <c r="L3" i="28" s="1"/>
  <c r="L4" i="28" a="1"/>
  <c r="L4" i="28" s="1"/>
  <c r="AT38" i="28"/>
  <c r="AK46" i="28"/>
  <c r="K8" i="52" l="1"/>
  <c r="B23" i="52" s="1"/>
  <c r="B25" i="52" s="1"/>
  <c r="K5" i="52" s="1"/>
  <c r="K20" i="52" s="1"/>
  <c r="L6" i="52" a="1"/>
  <c r="L6" i="52" s="1"/>
  <c r="L8" i="52" a="1"/>
  <c r="L8" i="52" s="1"/>
  <c r="L4" i="52" a="1"/>
  <c r="L4" i="52" s="1"/>
  <c r="L3" i="52" a="1"/>
  <c r="L3" i="52" s="1"/>
  <c r="C24" i="52" s="1"/>
  <c r="C26" i="52" s="1"/>
  <c r="K61" i="52"/>
  <c r="AX5" i="53"/>
  <c r="AX8" i="53"/>
  <c r="X33" i="53"/>
  <c r="X32" i="53"/>
  <c r="K33" i="53"/>
  <c r="K31" i="53"/>
  <c r="D24" i="53"/>
  <c r="D26" i="53" s="1"/>
  <c r="AC24" i="52"/>
  <c r="AC26" i="52" s="1"/>
  <c r="X61" i="54"/>
  <c r="X61" i="52"/>
  <c r="K20" i="54"/>
  <c r="L7" i="52" a="1"/>
  <c r="L7" i="52" s="1"/>
  <c r="L61" i="53"/>
  <c r="AK4" i="54"/>
  <c r="L5" i="52" a="1"/>
  <c r="L5" i="52" s="1"/>
  <c r="D24" i="52" s="1"/>
  <c r="D26" i="52" s="1"/>
  <c r="X7" i="54"/>
  <c r="X8" i="54"/>
  <c r="C24" i="54"/>
  <c r="C26" i="54" s="1"/>
  <c r="L20" i="54"/>
  <c r="AT60" i="54"/>
  <c r="P24" i="54"/>
  <c r="P26" i="54" s="1"/>
  <c r="AC24" i="54"/>
  <c r="AC26" i="54" s="1"/>
  <c r="L61" i="54"/>
  <c r="C65" i="54"/>
  <c r="C67" i="54" s="1"/>
  <c r="K61" i="54"/>
  <c r="AK8" i="54"/>
  <c r="AK9" i="54"/>
  <c r="AX20" i="54"/>
  <c r="X8" i="53"/>
  <c r="AT60" i="53"/>
  <c r="AO68" i="53" s="1"/>
  <c r="L20" i="53"/>
  <c r="C24" i="53"/>
  <c r="C26" i="53" s="1"/>
  <c r="AK4" i="53"/>
  <c r="AL5" i="53" a="1"/>
  <c r="AL5" i="53" s="1"/>
  <c r="P24" i="53"/>
  <c r="P26" i="53" s="1"/>
  <c r="AL4" i="53" a="1"/>
  <c r="AL4" i="53" s="1"/>
  <c r="AK9" i="53"/>
  <c r="AK8" i="53"/>
  <c r="AB23" i="53" s="1"/>
  <c r="AB25" i="53" s="1"/>
  <c r="AC24" i="53"/>
  <c r="AC26" i="53" s="1"/>
  <c r="AX20" i="52"/>
  <c r="AT60" i="52"/>
  <c r="AS71" i="52" s="1"/>
  <c r="AK4" i="52"/>
  <c r="AK3" i="52"/>
  <c r="L61" i="52"/>
  <c r="C65" i="52"/>
  <c r="C67" i="52" s="1"/>
  <c r="AK9" i="52"/>
  <c r="AK8" i="52"/>
  <c r="Y6" i="52" a="1"/>
  <c r="Y6" i="52" s="1"/>
  <c r="Y4" i="52" a="1"/>
  <c r="Y4" i="52" s="1"/>
  <c r="X7" i="52"/>
  <c r="X8" i="52"/>
  <c r="P24" i="52"/>
  <c r="P26" i="52" s="1"/>
  <c r="Y5" i="52" a="1"/>
  <c r="Y5" i="52" s="1"/>
  <c r="P65" i="52"/>
  <c r="P67" i="52" s="1"/>
  <c r="K61" i="28"/>
  <c r="X61" i="28"/>
  <c r="AK9" i="28"/>
  <c r="AK3" i="28"/>
  <c r="AL5" i="28" a="1"/>
  <c r="AL5" i="28" s="1"/>
  <c r="AL7" i="28" a="1"/>
  <c r="AL7" i="28" s="1"/>
  <c r="AT60" i="28"/>
  <c r="AR71" i="28" s="1"/>
  <c r="AL4" i="28" a="1"/>
  <c r="AL4" i="28" s="1"/>
  <c r="L61" i="28"/>
  <c r="C65" i="28"/>
  <c r="C67" i="28" s="1"/>
  <c r="AX20" i="28"/>
  <c r="P24" i="28"/>
  <c r="P26" i="28" s="1"/>
  <c r="P65" i="28"/>
  <c r="P67" i="28" s="1"/>
  <c r="AL3" i="28" a="1"/>
  <c r="AL3" i="28" s="1"/>
  <c r="C24" i="28"/>
  <c r="C26" i="28" s="1"/>
  <c r="X7" i="28"/>
  <c r="X8" i="28"/>
  <c r="X20" i="54" l="1"/>
  <c r="L20" i="52"/>
  <c r="AP71" i="54"/>
  <c r="AP68" i="54"/>
  <c r="AO68" i="54"/>
  <c r="AO71" i="54"/>
  <c r="AS71" i="54"/>
  <c r="AR68" i="54"/>
  <c r="AS68" i="54"/>
  <c r="AR71" i="54"/>
  <c r="AK20" i="54"/>
  <c r="AP68" i="53"/>
  <c r="AP71" i="53"/>
  <c r="AO71" i="53"/>
  <c r="AS68" i="53"/>
  <c r="AS71" i="53"/>
  <c r="AR68" i="53"/>
  <c r="AR71" i="53"/>
  <c r="AP68" i="52"/>
  <c r="AR68" i="52"/>
  <c r="AO68" i="52"/>
  <c r="AP71" i="52"/>
  <c r="AS68" i="52"/>
  <c r="AO71" i="52"/>
  <c r="X20" i="52"/>
  <c r="AR71" i="52"/>
  <c r="AK20" i="52"/>
  <c r="AO68" i="28"/>
  <c r="AK20" i="28"/>
  <c r="AS71" i="28"/>
  <c r="AP68" i="28"/>
  <c r="AO71" i="28"/>
  <c r="AS68" i="28"/>
  <c r="AP71" i="28"/>
  <c r="AR68" i="28"/>
  <c r="X20" i="28"/>
  <c r="AC24" i="28"/>
  <c r="AC26" i="28" s="1"/>
  <c r="M6" i="53" l="1" a="1"/>
  <c r="M6" i="53" s="1"/>
  <c r="I6" i="53" s="1"/>
  <c r="J6" i="53" s="1"/>
  <c r="M7" i="53" a="1"/>
  <c r="M7" i="53" s="1"/>
  <c r="I7" i="53" s="1"/>
  <c r="J7" i="53" s="1"/>
  <c r="Y8" i="53" a="1"/>
  <c r="Y8" i="53" s="1"/>
  <c r="Z8" i="53" a="1"/>
  <c r="Z8" i="53" s="1"/>
  <c r="Y9" i="53" a="1"/>
  <c r="Y9" i="53" s="1"/>
  <c r="Z9" i="53" a="1"/>
  <c r="Z9" i="53" s="1"/>
  <c r="Y10" i="53" a="1"/>
  <c r="Y10" i="53" s="1"/>
  <c r="Z10" i="53" a="1"/>
  <c r="Z10" i="53" s="1"/>
  <c r="Y11" i="53" a="1"/>
  <c r="Y11" i="53" s="1"/>
  <c r="Z11" i="53" a="1"/>
  <c r="Z11" i="53" s="1"/>
  <c r="Y12" i="53" a="1"/>
  <c r="Y12" i="53" s="1"/>
  <c r="Z12" i="53" a="1"/>
  <c r="Z12" i="53" s="1"/>
  <c r="AL12" i="53" a="1"/>
  <c r="AL12" i="53" s="1"/>
  <c r="AM12" i="53" a="1"/>
  <c r="AM12" i="53" s="1"/>
  <c r="AI12" i="53" s="1"/>
  <c r="AJ12" i="53" s="1"/>
  <c r="Y13" i="53" a="1"/>
  <c r="Y13" i="53" s="1"/>
  <c r="Z13" i="53" a="1"/>
  <c r="Z13" i="53" s="1"/>
  <c r="AL13" i="53" a="1"/>
  <c r="AL13" i="53" s="1"/>
  <c r="AM13" i="53" a="1"/>
  <c r="AM13" i="53" s="1"/>
  <c r="AL14" i="53" a="1"/>
  <c r="AL14" i="53" s="1"/>
  <c r="AM14" i="53" a="1"/>
  <c r="AM14" i="53" s="1"/>
  <c r="Q23" i="53"/>
  <c r="Q25" i="53" s="1"/>
  <c r="Y7" i="53" s="1" a="1"/>
  <c r="Y7" i="53" s="1"/>
  <c r="AQ23" i="53"/>
  <c r="AQ25" i="53" s="1"/>
  <c r="AD24" i="53"/>
  <c r="AD26" i="53" s="1"/>
  <c r="AF24" i="53"/>
  <c r="AF26" i="53" s="1"/>
  <c r="M33" i="53" a="1"/>
  <c r="M33" i="53" s="1"/>
  <c r="I33" i="53" s="1"/>
  <c r="J33" i="53" s="1"/>
  <c r="Y33" i="53" a="1"/>
  <c r="Y33" i="53" s="1"/>
  <c r="Z33" i="53" a="1"/>
  <c r="Z33" i="53" s="1"/>
  <c r="M34" i="53" a="1"/>
  <c r="M34" i="53" s="1"/>
  <c r="I34" i="53" s="1"/>
  <c r="J34" i="53" s="1"/>
  <c r="Y34" i="53" a="1"/>
  <c r="Y34" i="53" s="1"/>
  <c r="Z34" i="53" a="1"/>
  <c r="Z34" i="53" s="1"/>
  <c r="M35" i="53" a="1"/>
  <c r="M35" i="53" s="1"/>
  <c r="I35" i="53" s="1"/>
  <c r="J35" i="53" s="1"/>
  <c r="Y35" i="53" a="1"/>
  <c r="Y35" i="53" s="1"/>
  <c r="Z35" i="53" a="1"/>
  <c r="Z35" i="53" s="1"/>
  <c r="M36" i="53" a="1"/>
  <c r="M36" i="53" s="1"/>
  <c r="I36" i="53" s="1"/>
  <c r="J36" i="53" s="1"/>
  <c r="Q64" i="53"/>
  <c r="Q66" i="53" s="1"/>
  <c r="Y32" i="53" s="1" a="1"/>
  <c r="Y32" i="53" s="1"/>
  <c r="Q65" i="53"/>
  <c r="Q67" i="53" s="1"/>
  <c r="V35" i="53" l="1"/>
  <c r="W35" i="53" s="1"/>
  <c r="AY8" i="53" a="1"/>
  <c r="AY8" i="53" s="1"/>
  <c r="AQ24" i="53" s="1"/>
  <c r="AQ26" i="53" s="1"/>
  <c r="AY9" i="53" a="1"/>
  <c r="AY9" i="53" s="1"/>
  <c r="Y30" i="53" a="1"/>
  <c r="Y30" i="53" s="1"/>
  <c r="Y31" i="53" a="1"/>
  <c r="Y31" i="53" s="1"/>
  <c r="Y5" i="53" a="1"/>
  <c r="Y5" i="53" s="1"/>
  <c r="Y6" i="53" a="1"/>
  <c r="Y6" i="53" s="1"/>
  <c r="Q24" i="53" s="1"/>
  <c r="Q26" i="53" s="1"/>
  <c r="V12" i="53"/>
  <c r="W12" i="53" s="1"/>
  <c r="V10" i="53"/>
  <c r="W10" i="53" s="1"/>
  <c r="V34" i="53"/>
  <c r="W34" i="53" s="1"/>
  <c r="V33" i="53"/>
  <c r="W33" i="53" s="1"/>
  <c r="V9" i="53"/>
  <c r="W9" i="53" s="1"/>
  <c r="V13" i="53"/>
  <c r="W13" i="53" s="1"/>
  <c r="V11" i="53"/>
  <c r="W11" i="53" s="1"/>
  <c r="AI13" i="53"/>
  <c r="AJ13" i="53" s="1"/>
  <c r="V8" i="53"/>
  <c r="W8" i="53" s="1"/>
  <c r="AI14" i="53"/>
  <c r="AJ14" i="53" s="1"/>
  <c r="M3" i="54" a="1"/>
  <c r="M3" i="54" s="1"/>
  <c r="Z3" i="54" a="1"/>
  <c r="Z3" i="54" s="1"/>
  <c r="V3" i="54" s="1"/>
  <c r="W3" i="54" s="1"/>
  <c r="AM3" i="54" a="1"/>
  <c r="AM3" i="54" s="1"/>
  <c r="AY3" i="54" a="1"/>
  <c r="AY3" i="54" s="1"/>
  <c r="AZ3" i="54" a="1"/>
  <c r="AZ3" i="54" s="1"/>
  <c r="M4" i="54" a="1"/>
  <c r="M4" i="54" s="1"/>
  <c r="I4" i="54" s="1"/>
  <c r="J4" i="54" s="1"/>
  <c r="Z4" i="54" a="1"/>
  <c r="Z4" i="54" s="1"/>
  <c r="V4" i="54" s="1"/>
  <c r="W4" i="54" s="1"/>
  <c r="AM4" i="54" a="1"/>
  <c r="AM4" i="54" s="1"/>
  <c r="AI4" i="54" s="1"/>
  <c r="AJ4" i="54" s="1"/>
  <c r="AY4" i="54" a="1"/>
  <c r="AY4" i="54" s="1"/>
  <c r="AZ4" i="54" a="1"/>
  <c r="AZ4" i="54" s="1"/>
  <c r="M5" i="54" a="1"/>
  <c r="M5" i="54" s="1"/>
  <c r="I5" i="54" s="1"/>
  <c r="J5" i="54" s="1"/>
  <c r="Z5" i="54" a="1"/>
  <c r="Z5" i="54" s="1"/>
  <c r="V5" i="54" s="1"/>
  <c r="W5" i="54" s="1"/>
  <c r="AM5" i="54" a="1"/>
  <c r="AM5" i="54" s="1"/>
  <c r="AI5" i="54" s="1"/>
  <c r="AJ5" i="54" s="1"/>
  <c r="AY5" i="54" a="1"/>
  <c r="AY5" i="54" s="1"/>
  <c r="AZ5" i="54" a="1"/>
  <c r="AZ5" i="54" s="1"/>
  <c r="M6" i="54" a="1"/>
  <c r="M6" i="54" s="1"/>
  <c r="I6" i="54" s="1"/>
  <c r="J6" i="54" s="1"/>
  <c r="Z6" i="54" a="1"/>
  <c r="Z6" i="54" s="1"/>
  <c r="V6" i="54" s="1"/>
  <c r="W6" i="54" s="1"/>
  <c r="AM6" i="54" a="1"/>
  <c r="AM6" i="54" s="1"/>
  <c r="AI6" i="54" s="1"/>
  <c r="AJ6" i="54" s="1"/>
  <c r="AY6" i="54" a="1"/>
  <c r="AY6" i="54" s="1"/>
  <c r="AZ6" i="54" a="1"/>
  <c r="AZ6" i="54" s="1"/>
  <c r="M7" i="54" a="1"/>
  <c r="M7" i="54" s="1"/>
  <c r="I7" i="54" s="1"/>
  <c r="J7" i="54" s="1"/>
  <c r="Y7" i="54" a="1"/>
  <c r="Y7" i="54" s="1"/>
  <c r="Z7" i="54" a="1"/>
  <c r="Z7" i="54" s="1"/>
  <c r="AM7" i="54" a="1"/>
  <c r="AM7" i="54" s="1"/>
  <c r="AI7" i="54" s="1"/>
  <c r="AJ7" i="54" s="1"/>
  <c r="AY7" i="54" a="1"/>
  <c r="AY7" i="54" s="1"/>
  <c r="AZ7" i="54" a="1"/>
  <c r="AZ7" i="54" s="1"/>
  <c r="Y8" i="54" a="1"/>
  <c r="Y8" i="54" s="1"/>
  <c r="Z8" i="54" a="1"/>
  <c r="Z8" i="54" s="1"/>
  <c r="AL8" i="54" a="1"/>
  <c r="AL8" i="54" s="1"/>
  <c r="AM8" i="54" a="1"/>
  <c r="AM8" i="54" s="1"/>
  <c r="AY8" i="54" a="1"/>
  <c r="AY8" i="54" s="1"/>
  <c r="AZ8" i="54" a="1"/>
  <c r="AZ8" i="54" s="1"/>
  <c r="Y9" i="54" a="1"/>
  <c r="Y9" i="54" s="1"/>
  <c r="Z9" i="54" a="1"/>
  <c r="Z9" i="54" s="1"/>
  <c r="AL9" i="54" a="1"/>
  <c r="AL9" i="54" s="1"/>
  <c r="AM9" i="54" a="1"/>
  <c r="AM9" i="54" s="1"/>
  <c r="AY9" i="54" a="1"/>
  <c r="AY9" i="54" s="1"/>
  <c r="AZ9" i="54" a="1"/>
  <c r="AZ9" i="54" s="1"/>
  <c r="Y10" i="54" a="1"/>
  <c r="Y10" i="54" s="1"/>
  <c r="Z10" i="54" a="1"/>
  <c r="Z10" i="54" s="1"/>
  <c r="AL10" i="54" a="1"/>
  <c r="AL10" i="54" s="1"/>
  <c r="AM10" i="54" a="1"/>
  <c r="AM10" i="54" s="1"/>
  <c r="Y11" i="54" a="1"/>
  <c r="Y11" i="54" s="1"/>
  <c r="Z11" i="54" a="1"/>
  <c r="Z11" i="54" s="1"/>
  <c r="AL11" i="54" a="1"/>
  <c r="AL11" i="54" s="1"/>
  <c r="AM11" i="54" a="1"/>
  <c r="AM11" i="54" s="1"/>
  <c r="Y12" i="54" a="1"/>
  <c r="Y12" i="54" s="1"/>
  <c r="Z12" i="54" a="1"/>
  <c r="Z12" i="54" s="1"/>
  <c r="AL12" i="54" a="1"/>
  <c r="AL12" i="54" s="1"/>
  <c r="AM12" i="54" a="1"/>
  <c r="AM12" i="54" s="1"/>
  <c r="Y13" i="54" a="1"/>
  <c r="Y13" i="54" s="1"/>
  <c r="Z13" i="54" a="1"/>
  <c r="Z13" i="54" s="1"/>
  <c r="AL13" i="54" a="1"/>
  <c r="AL13" i="54" s="1"/>
  <c r="AM13" i="54" a="1"/>
  <c r="AM13" i="54" s="1"/>
  <c r="AL14" i="54" a="1"/>
  <c r="AL14" i="54" s="1"/>
  <c r="AM14" i="54" a="1"/>
  <c r="AM14" i="54" s="1"/>
  <c r="E23" i="54"/>
  <c r="E25" i="54" s="1"/>
  <c r="F23" i="54"/>
  <c r="F25" i="54" s="1"/>
  <c r="Q23" i="54"/>
  <c r="Q25" i="54" s="1"/>
  <c r="R23" i="54"/>
  <c r="R25" i="54" s="1"/>
  <c r="S23" i="54"/>
  <c r="S25" i="54" s="1"/>
  <c r="AD23" i="54"/>
  <c r="AD25" i="54" s="1"/>
  <c r="AE23" i="54"/>
  <c r="AE25" i="54" s="1"/>
  <c r="AF23" i="54"/>
  <c r="AF25" i="54" s="1"/>
  <c r="AP23" i="54"/>
  <c r="AP25" i="54" s="1"/>
  <c r="AQ23" i="54"/>
  <c r="AQ25" i="54" s="1"/>
  <c r="AR23" i="54"/>
  <c r="AR25" i="54" s="1"/>
  <c r="AS23" i="54"/>
  <c r="AS25" i="54" s="1"/>
  <c r="E24" i="54"/>
  <c r="E26" i="54" s="1"/>
  <c r="F24" i="54"/>
  <c r="F26" i="54" s="1"/>
  <c r="Q24" i="54"/>
  <c r="Q26" i="54" s="1"/>
  <c r="R24" i="54"/>
  <c r="R26" i="54" s="1"/>
  <c r="S24" i="54"/>
  <c r="S26" i="54" s="1"/>
  <c r="AD24" i="54"/>
  <c r="AD26" i="54" s="1"/>
  <c r="AE24" i="54"/>
  <c r="AE26" i="54" s="1"/>
  <c r="AF24" i="54"/>
  <c r="AF26" i="54" s="1"/>
  <c r="AP24" i="54"/>
  <c r="AP26" i="54" s="1"/>
  <c r="AQ24" i="54"/>
  <c r="AQ26" i="54" s="1"/>
  <c r="AR24" i="54"/>
  <c r="AR26" i="54" s="1"/>
  <c r="AS24" i="54"/>
  <c r="AS26" i="54" s="1"/>
  <c r="M29" i="54" a="1"/>
  <c r="M29" i="54" s="1"/>
  <c r="Z29" i="54" a="1"/>
  <c r="Z29" i="54" s="1"/>
  <c r="V29" i="54" s="1"/>
  <c r="W29" i="54" s="1"/>
  <c r="AP29" i="54"/>
  <c r="AQ29" i="54" s="1"/>
  <c r="M30" i="54" a="1"/>
  <c r="M30" i="54" s="1"/>
  <c r="I30" i="54" s="1"/>
  <c r="J30" i="54" s="1"/>
  <c r="Z30" i="54" a="1"/>
  <c r="Z30" i="54"/>
  <c r="V30" i="54" s="1"/>
  <c r="W30" i="54" s="1"/>
  <c r="AP30" i="54"/>
  <c r="AQ30" i="54" s="1"/>
  <c r="M31" i="54" a="1"/>
  <c r="M31" i="54" s="1"/>
  <c r="I31" i="54" s="1"/>
  <c r="J31" i="54" s="1"/>
  <c r="Z31" i="54" a="1"/>
  <c r="Z31" i="54" s="1"/>
  <c r="V31" i="54" s="1"/>
  <c r="W31" i="54" s="1"/>
  <c r="AP31" i="54"/>
  <c r="AQ31" i="54" s="1"/>
  <c r="M32" i="54" a="1"/>
  <c r="M32" i="54" s="1"/>
  <c r="I32" i="54" s="1"/>
  <c r="J32" i="54" s="1"/>
  <c r="Y32" i="54" a="1"/>
  <c r="Y32" i="54" s="1"/>
  <c r="Z32" i="54" a="1"/>
  <c r="Z32" i="54" s="1"/>
  <c r="AP32" i="54"/>
  <c r="AQ32" i="54" s="1"/>
  <c r="M33" i="54" a="1"/>
  <c r="M33" i="54" s="1"/>
  <c r="I33" i="54" s="1"/>
  <c r="J33" i="54" s="1"/>
  <c r="Y33" i="54" a="1"/>
  <c r="Y33" i="54" s="1"/>
  <c r="Z33" i="54" a="1"/>
  <c r="Z33" i="54" s="1"/>
  <c r="AP33" i="54"/>
  <c r="AQ33" i="54" s="1"/>
  <c r="M34" i="54" a="1"/>
  <c r="M34" i="54" s="1"/>
  <c r="I34" i="54" s="1"/>
  <c r="J34" i="54" s="1"/>
  <c r="Y34" i="54" a="1"/>
  <c r="Y34" i="54" s="1"/>
  <c r="Z34" i="54" a="1"/>
  <c r="Z34" i="54" s="1"/>
  <c r="AP34" i="54"/>
  <c r="AQ34" i="54" s="1"/>
  <c r="M35" i="54" a="1"/>
  <c r="M35" i="54" s="1"/>
  <c r="I35" i="54" s="1"/>
  <c r="J35" i="54" s="1"/>
  <c r="Y35" i="54" a="1"/>
  <c r="Y35" i="54" s="1"/>
  <c r="Z35" i="54" a="1"/>
  <c r="Z35" i="54" s="1"/>
  <c r="AP35" i="54"/>
  <c r="AQ35" i="54" s="1"/>
  <c r="M36" i="54" a="1"/>
  <c r="M36" i="54" s="1"/>
  <c r="I36" i="54" s="1"/>
  <c r="J36" i="54" s="1"/>
  <c r="AP36" i="54"/>
  <c r="AQ36" i="54" s="1"/>
  <c r="AP37" i="54"/>
  <c r="AQ37" i="54" s="1"/>
  <c r="AP38" i="54"/>
  <c r="AQ38" i="54" s="1"/>
  <c r="AP39" i="54"/>
  <c r="AQ39" i="54" s="1"/>
  <c r="E64" i="54"/>
  <c r="E66" i="54" s="1"/>
  <c r="F64" i="54"/>
  <c r="F66" i="54" s="1"/>
  <c r="Q64" i="54"/>
  <c r="Q66" i="54" s="1"/>
  <c r="R64" i="54"/>
  <c r="R66" i="54" s="1"/>
  <c r="S64" i="54"/>
  <c r="S66" i="54" s="1"/>
  <c r="E65" i="54"/>
  <c r="E67" i="54" s="1"/>
  <c r="F65" i="54"/>
  <c r="F67" i="54" s="1"/>
  <c r="Q65" i="54"/>
  <c r="Q67" i="54" s="1"/>
  <c r="R65" i="54"/>
  <c r="R67" i="54" s="1"/>
  <c r="S65" i="54"/>
  <c r="S67" i="54" s="1"/>
  <c r="Y61" i="53" l="1"/>
  <c r="Y20" i="53"/>
  <c r="V10" i="54"/>
  <c r="W10" i="54" s="1"/>
  <c r="AV4" i="54"/>
  <c r="AW4" i="54" s="1"/>
  <c r="V12" i="54"/>
  <c r="W12" i="54" s="1"/>
  <c r="V9" i="54"/>
  <c r="W9" i="54" s="1"/>
  <c r="AV6" i="54"/>
  <c r="AW6" i="54" s="1"/>
  <c r="AI9" i="54"/>
  <c r="AJ9" i="54" s="1"/>
  <c r="AI14" i="54"/>
  <c r="AJ14" i="54" s="1"/>
  <c r="AI10" i="54"/>
  <c r="AJ10" i="54" s="1"/>
  <c r="AV5" i="54"/>
  <c r="AW5" i="54" s="1"/>
  <c r="AI13" i="54"/>
  <c r="AJ13" i="54" s="1"/>
  <c r="V34" i="54"/>
  <c r="W34" i="54" s="1"/>
  <c r="AL20" i="54"/>
  <c r="V13" i="54"/>
  <c r="W13" i="54" s="1"/>
  <c r="AI8" i="54"/>
  <c r="AJ8" i="54" s="1"/>
  <c r="Y61" i="54"/>
  <c r="V32" i="54"/>
  <c r="W32" i="54" s="1"/>
  <c r="V8" i="54"/>
  <c r="W8" i="54" s="1"/>
  <c r="V35" i="54"/>
  <c r="W35" i="54" s="1"/>
  <c r="M20" i="54"/>
  <c r="I3" i="54"/>
  <c r="J3" i="54" s="1"/>
  <c r="V33" i="54"/>
  <c r="W33" i="54" s="1"/>
  <c r="AI11" i="54"/>
  <c r="AJ11" i="54" s="1"/>
  <c r="AV7" i="54"/>
  <c r="AW7" i="54" s="1"/>
  <c r="M61" i="54"/>
  <c r="I29" i="54"/>
  <c r="J29" i="54" s="1"/>
  <c r="V11" i="54"/>
  <c r="W11" i="54" s="1"/>
  <c r="AV8" i="54"/>
  <c r="AW8" i="54" s="1"/>
  <c r="Y20" i="54"/>
  <c r="V7" i="54"/>
  <c r="W7" i="54" s="1"/>
  <c r="AZ20" i="54"/>
  <c r="AY20" i="54"/>
  <c r="AV3" i="54"/>
  <c r="AW3" i="54" s="1"/>
  <c r="AI3" i="54"/>
  <c r="AJ3" i="54" s="1"/>
  <c r="AM20" i="54"/>
  <c r="AQ60" i="54"/>
  <c r="Z20" i="54"/>
  <c r="Z61" i="54"/>
  <c r="AI12" i="54"/>
  <c r="AJ12" i="54" s="1"/>
  <c r="AV9" i="54"/>
  <c r="AW9" i="54" s="1"/>
  <c r="L8" i="28" a="1"/>
  <c r="L8" i="28" s="1"/>
  <c r="M8" i="28" a="1"/>
  <c r="M8" i="28" s="1"/>
  <c r="D23" i="28"/>
  <c r="D25" i="28"/>
  <c r="L6" i="28" s="1" a="1"/>
  <c r="L6" i="28" s="1"/>
  <c r="I8" i="28" l="1"/>
  <c r="J8" i="28" s="1"/>
  <c r="L5" i="28" a="1"/>
  <c r="L5" i="28" s="1"/>
  <c r="L7" i="28" a="1"/>
  <c r="L7" i="28" s="1"/>
  <c r="D24" i="28" l="1"/>
  <c r="D26" i="28" s="1"/>
  <c r="L20" i="28"/>
  <c r="A23" i="53"/>
  <c r="A25" i="53" s="1"/>
  <c r="K3" i="53" s="1"/>
  <c r="K5" i="53"/>
  <c r="B23" i="53" s="1"/>
  <c r="B25" i="53" s="1"/>
  <c r="K4" i="53" s="1"/>
  <c r="K20" i="53" s="1"/>
  <c r="A64" i="53"/>
  <c r="A66" i="53" s="1"/>
  <c r="K29" i="53" s="1"/>
  <c r="K61" i="53" s="1"/>
  <c r="N23" i="53"/>
  <c r="N25" i="53" s="1"/>
  <c r="X3" i="53" s="1"/>
  <c r="X7" i="53"/>
  <c r="O23" i="53"/>
  <c r="O25" i="53" s="1"/>
  <c r="X6" i="53" s="1"/>
  <c r="N64" i="53"/>
  <c r="N66" i="53" s="1"/>
  <c r="X29" i="53" s="1"/>
  <c r="X61" i="53" s="1"/>
  <c r="AK3" i="53"/>
  <c r="AA23" i="53" s="1"/>
  <c r="AA25" i="53" s="1"/>
  <c r="AK5" i="53" s="1"/>
  <c r="AA64" i="53"/>
  <c r="AA66" i="53" s="1"/>
  <c r="AK29" i="53" s="1"/>
  <c r="AB64" i="53"/>
  <c r="AB66" i="53" s="1"/>
  <c r="AK34" i="53" s="1"/>
  <c r="AN23" i="53"/>
  <c r="AN25" i="53" s="1"/>
  <c r="AX3" i="53" s="1"/>
  <c r="AX20" i="53" s="1"/>
  <c r="AK46" i="53" l="1"/>
  <c r="X20" i="53"/>
  <c r="AK20" i="53"/>
  <c r="I3" i="53" l="1"/>
  <c r="J3" i="53"/>
  <c r="M3" i="53" a="1"/>
  <c r="M3" i="53"/>
  <c r="V3" i="53"/>
  <c r="W3" i="53"/>
  <c r="Z3" i="53" a="1"/>
  <c r="Z3" i="53"/>
  <c r="AI3" i="53"/>
  <c r="AJ3" i="53"/>
  <c r="AM3" i="53" a="1"/>
  <c r="AM3" i="53"/>
  <c r="AV3" i="53"/>
  <c r="AW3" i="53"/>
  <c r="AY3" i="53" a="1"/>
  <c r="AY3" i="53"/>
  <c r="AZ3" i="53" a="1"/>
  <c r="AZ3" i="53"/>
  <c r="I4" i="53"/>
  <c r="J4" i="53"/>
  <c r="M4" i="53" a="1"/>
  <c r="M4" i="53"/>
  <c r="V4" i="53"/>
  <c r="W4" i="53"/>
  <c r="Z4" i="53" a="1"/>
  <c r="Z4" i="53"/>
  <c r="AI4" i="53"/>
  <c r="AJ4" i="53"/>
  <c r="AM4" i="53" a="1"/>
  <c r="AM4" i="53"/>
  <c r="AV4" i="53"/>
  <c r="AW4" i="53"/>
  <c r="AY4" i="53" a="1"/>
  <c r="AY4" i="53"/>
  <c r="AZ4" i="53" a="1"/>
  <c r="AZ4" i="53"/>
  <c r="I5" i="53"/>
  <c r="J5" i="53"/>
  <c r="M5" i="53" a="1"/>
  <c r="M5" i="53"/>
  <c r="V5" i="53"/>
  <c r="W5" i="53"/>
  <c r="Z5" i="53" a="1"/>
  <c r="Z5" i="53"/>
  <c r="AI5" i="53"/>
  <c r="AJ5" i="53"/>
  <c r="AM5" i="53" a="1"/>
  <c r="AM5" i="53"/>
  <c r="AV5" i="53"/>
  <c r="AW5" i="53"/>
  <c r="AY5" i="53" a="1"/>
  <c r="AY5" i="53"/>
  <c r="AZ5" i="53" a="1"/>
  <c r="AZ5" i="53"/>
  <c r="V6" i="53"/>
  <c r="W6" i="53"/>
  <c r="Z6" i="53" a="1"/>
  <c r="Z6" i="53"/>
  <c r="AI6" i="53"/>
  <c r="AJ6" i="53"/>
  <c r="AL6" i="53" a="1"/>
  <c r="AL6" i="53"/>
  <c r="AM6" i="53" a="1"/>
  <c r="AM6" i="53"/>
  <c r="AV6" i="53"/>
  <c r="AW6" i="53"/>
  <c r="AY6" i="53" a="1"/>
  <c r="AY6" i="53"/>
  <c r="AZ6" i="53" a="1"/>
  <c r="AZ6" i="53"/>
  <c r="V7" i="53"/>
  <c r="W7" i="53"/>
  <c r="Z7" i="53" a="1"/>
  <c r="Z7" i="53"/>
  <c r="AI7" i="53"/>
  <c r="AJ7" i="53"/>
  <c r="AL7" i="53" a="1"/>
  <c r="AL7" i="53"/>
  <c r="AM7" i="53" a="1"/>
  <c r="AM7" i="53"/>
  <c r="AV7" i="53"/>
  <c r="AW7" i="53"/>
  <c r="AY7" i="53" a="1"/>
  <c r="AY7" i="53"/>
  <c r="AZ7" i="53" a="1"/>
  <c r="AZ7" i="53"/>
  <c r="AI8" i="53"/>
  <c r="AJ8" i="53"/>
  <c r="AL8" i="53" a="1"/>
  <c r="AL8" i="53"/>
  <c r="AM8" i="53" a="1"/>
  <c r="AM8" i="53"/>
  <c r="AV8" i="53"/>
  <c r="AW8" i="53"/>
  <c r="AZ8" i="53" a="1"/>
  <c r="AZ8" i="53"/>
  <c r="AI9" i="53"/>
  <c r="AJ9" i="53"/>
  <c r="AL9" i="53" a="1"/>
  <c r="AL9" i="53"/>
  <c r="AM9" i="53" a="1"/>
  <c r="AM9" i="53"/>
  <c r="AV9" i="53"/>
  <c r="AW9" i="53"/>
  <c r="AZ9" i="53" a="1"/>
  <c r="AZ9" i="53"/>
  <c r="AI10" i="53"/>
  <c r="AJ10" i="53"/>
  <c r="AL10" i="53" a="1"/>
  <c r="AL10" i="53"/>
  <c r="AM10" i="53" a="1"/>
  <c r="AM10" i="53"/>
  <c r="AI11" i="53"/>
  <c r="AJ11" i="53"/>
  <c r="AL11" i="53" a="1"/>
  <c r="AL11" i="53"/>
  <c r="AM11" i="53" a="1"/>
  <c r="AM11" i="53"/>
  <c r="M20" i="53"/>
  <c r="Z20" i="53"/>
  <c r="AL20" i="53"/>
  <c r="AM20" i="53"/>
  <c r="AY20" i="53"/>
  <c r="AZ20" i="53"/>
  <c r="E23" i="53"/>
  <c r="F23" i="53"/>
  <c r="R23" i="53"/>
  <c r="S23" i="53"/>
  <c r="AD23" i="53"/>
  <c r="AE23" i="53"/>
  <c r="AF23" i="53"/>
  <c r="AP23" i="53"/>
  <c r="AR23" i="53"/>
  <c r="AS23" i="53"/>
  <c r="E24" i="53"/>
  <c r="F24" i="53"/>
  <c r="R24" i="53"/>
  <c r="S24" i="53"/>
  <c r="AE24" i="53"/>
  <c r="AP24" i="53"/>
  <c r="AR24" i="53"/>
  <c r="AS24" i="53"/>
  <c r="E25" i="53"/>
  <c r="F25" i="53"/>
  <c r="R25" i="53"/>
  <c r="S25" i="53"/>
  <c r="AD25" i="53"/>
  <c r="AE25" i="53"/>
  <c r="AF25" i="53"/>
  <c r="AP25" i="53"/>
  <c r="AR25" i="53"/>
  <c r="AS25" i="53"/>
  <c r="E26" i="53"/>
  <c r="F26" i="53"/>
  <c r="R26" i="53"/>
  <c r="S26" i="53"/>
  <c r="AE26" i="53"/>
  <c r="AP26" i="53"/>
  <c r="AR26" i="53"/>
  <c r="AS26" i="53"/>
  <c r="I29" i="53"/>
  <c r="J29" i="53"/>
  <c r="M29" i="53" a="1"/>
  <c r="M29" i="53"/>
  <c r="V29" i="53"/>
  <c r="W29" i="53"/>
  <c r="Z29" i="53" a="1"/>
  <c r="Z29" i="53"/>
  <c r="AI29" i="53"/>
  <c r="AJ29" i="53"/>
  <c r="AM29" i="53" a="1"/>
  <c r="AM29" i="53"/>
  <c r="AP29" i="53"/>
  <c r="AQ29" i="53"/>
  <c r="I30" i="53"/>
  <c r="J30" i="53"/>
  <c r="M30" i="53" a="1"/>
  <c r="M30" i="53"/>
  <c r="V30" i="53"/>
  <c r="W30" i="53"/>
  <c r="Z30" i="53" a="1"/>
  <c r="Z30" i="53"/>
  <c r="AI30" i="53"/>
  <c r="AJ30" i="53"/>
  <c r="AM30" i="53" a="1"/>
  <c r="AM30" i="53"/>
  <c r="AP30" i="53"/>
  <c r="AQ30" i="53"/>
  <c r="I31" i="53"/>
  <c r="J31" i="53"/>
  <c r="M31" i="53" a="1"/>
  <c r="M31" i="53"/>
  <c r="V31" i="53"/>
  <c r="W31" i="53"/>
  <c r="Z31" i="53" a="1"/>
  <c r="Z31" i="53"/>
  <c r="AI31" i="53"/>
  <c r="AJ31" i="53"/>
  <c r="AM31" i="53" a="1"/>
  <c r="AM31" i="53"/>
  <c r="AP31" i="53"/>
  <c r="AQ31" i="53"/>
  <c r="I32" i="53"/>
  <c r="J32" i="53"/>
  <c r="M32" i="53" a="1"/>
  <c r="M32" i="53"/>
  <c r="V32" i="53"/>
  <c r="W32" i="53"/>
  <c r="Z32" i="53" a="1"/>
  <c r="Z32" i="53"/>
  <c r="AI32" i="53"/>
  <c r="AJ32" i="53"/>
  <c r="AM32" i="53" a="1"/>
  <c r="AM32" i="53"/>
  <c r="AP32" i="53"/>
  <c r="AQ32" i="53"/>
  <c r="AI33" i="53"/>
  <c r="AJ33" i="53"/>
  <c r="AM33" i="53" a="1"/>
  <c r="AM33" i="53"/>
  <c r="AP33" i="53"/>
  <c r="AQ33" i="53"/>
  <c r="AI34" i="53"/>
  <c r="AJ34" i="53"/>
  <c r="AM34" i="53" a="1"/>
  <c r="AM34" i="53"/>
  <c r="AP34" i="53"/>
  <c r="AQ34" i="53"/>
  <c r="AI35" i="53"/>
  <c r="AJ35" i="53"/>
  <c r="AM35" i="53" a="1"/>
  <c r="AM35" i="53"/>
  <c r="AP35" i="53"/>
  <c r="AQ35" i="53"/>
  <c r="AI36" i="53"/>
  <c r="AJ36" i="53"/>
  <c r="AM36" i="53" a="1"/>
  <c r="AM36" i="53"/>
  <c r="AP36" i="53"/>
  <c r="AQ36" i="53"/>
  <c r="AI37" i="53"/>
  <c r="AJ37" i="53"/>
  <c r="AM37" i="53" a="1"/>
  <c r="AM37" i="53"/>
  <c r="AP37" i="53"/>
  <c r="AQ37" i="53"/>
  <c r="AI38" i="53"/>
  <c r="AJ38" i="53"/>
  <c r="AM38" i="53" a="1"/>
  <c r="AM38" i="53"/>
  <c r="AP38" i="53"/>
  <c r="AQ38" i="53"/>
  <c r="AI39" i="53"/>
  <c r="AJ39" i="53"/>
  <c r="AM39" i="53" a="1"/>
  <c r="AM39" i="53"/>
  <c r="AP39" i="53"/>
  <c r="AQ39" i="53"/>
  <c r="AI40" i="53"/>
  <c r="AJ40" i="53"/>
  <c r="AM40" i="53" a="1"/>
  <c r="AM40" i="53"/>
  <c r="AP40" i="53"/>
  <c r="AQ40" i="53"/>
  <c r="AP41" i="53"/>
  <c r="AQ41" i="53"/>
  <c r="AP42" i="53"/>
  <c r="AQ42" i="53"/>
  <c r="AM46" i="53"/>
  <c r="AQ60" i="53"/>
  <c r="M61" i="53"/>
  <c r="Z61" i="53"/>
  <c r="E64" i="53"/>
  <c r="F64" i="53"/>
  <c r="R64" i="53"/>
  <c r="S64" i="53"/>
  <c r="AE64" i="53"/>
  <c r="AF64" i="53"/>
  <c r="E65" i="53"/>
  <c r="F65" i="53"/>
  <c r="R65" i="53"/>
  <c r="S65" i="53"/>
  <c r="AE65" i="53"/>
  <c r="AF65" i="53"/>
  <c r="E66" i="53"/>
  <c r="F66" i="53"/>
  <c r="R66" i="53"/>
  <c r="S66" i="53"/>
  <c r="AE66" i="53"/>
  <c r="AF66" i="53"/>
  <c r="E67" i="53"/>
  <c r="F67" i="53"/>
  <c r="R67" i="53"/>
  <c r="S67" i="53"/>
  <c r="AE67" i="53"/>
  <c r="AF67" i="53"/>
  <c r="I3" i="28"/>
  <c r="J3" i="28"/>
  <c r="M3" i="28" a="1"/>
  <c r="M3" i="28"/>
  <c r="V3" i="28"/>
  <c r="W3" i="28"/>
  <c r="Z3" i="28" a="1"/>
  <c r="Z3" i="28"/>
  <c r="AI3" i="28"/>
  <c r="AJ3" i="28"/>
  <c r="AM3" i="28" a="1"/>
  <c r="AM3" i="28"/>
  <c r="AV3" i="28"/>
  <c r="AW3" i="28"/>
  <c r="AY3" i="28" a="1"/>
  <c r="AY3" i="28"/>
  <c r="AZ3" i="28" a="1"/>
  <c r="AZ3" i="28"/>
  <c r="I4" i="28"/>
  <c r="J4" i="28"/>
  <c r="M4" i="28" a="1"/>
  <c r="M4" i="28"/>
  <c r="V4" i="28"/>
  <c r="W4" i="28"/>
  <c r="Z4" i="28" a="1"/>
  <c r="Z4" i="28"/>
  <c r="AI4" i="28"/>
  <c r="AJ4" i="28"/>
  <c r="AM4" i="28" a="1"/>
  <c r="AM4" i="28"/>
  <c r="AV4" i="28"/>
  <c r="AW4" i="28"/>
  <c r="AY4" i="28" a="1"/>
  <c r="AY4" i="28"/>
  <c r="AZ4" i="28" a="1"/>
  <c r="AZ4" i="28"/>
  <c r="I5" i="28"/>
  <c r="J5" i="28"/>
  <c r="M5" i="28" a="1"/>
  <c r="M5" i="28"/>
  <c r="V5" i="28"/>
  <c r="W5" i="28"/>
  <c r="Z5" i="28" a="1"/>
  <c r="Z5" i="28"/>
  <c r="AI5" i="28"/>
  <c r="AJ5" i="28"/>
  <c r="AM5" i="28" a="1"/>
  <c r="AM5" i="28"/>
  <c r="AV5" i="28"/>
  <c r="AW5" i="28"/>
  <c r="AY5" i="28" a="1"/>
  <c r="AY5" i="28"/>
  <c r="AZ5" i="28" a="1"/>
  <c r="AZ5" i="28"/>
  <c r="I6" i="28"/>
  <c r="J6" i="28"/>
  <c r="M6" i="28" a="1"/>
  <c r="M6" i="28"/>
  <c r="V6" i="28"/>
  <c r="W6" i="28"/>
  <c r="Z6" i="28" a="1"/>
  <c r="Z6" i="28"/>
  <c r="AI6" i="28"/>
  <c r="AJ6" i="28"/>
  <c r="AM6" i="28" a="1"/>
  <c r="AM6" i="28"/>
  <c r="AV6" i="28"/>
  <c r="AW6" i="28"/>
  <c r="AY6" i="28" a="1"/>
  <c r="AY6" i="28"/>
  <c r="AZ6" i="28" a="1"/>
  <c r="AZ6" i="28"/>
  <c r="I7" i="28"/>
  <c r="J7" i="28"/>
  <c r="M7" i="28" a="1"/>
  <c r="M7" i="28"/>
  <c r="V7" i="28"/>
  <c r="W7" i="28"/>
  <c r="Y7" i="28" a="1"/>
  <c r="Y7" i="28"/>
  <c r="Z7" i="28" a="1"/>
  <c r="Z7" i="28"/>
  <c r="AI7" i="28"/>
  <c r="AJ7" i="28"/>
  <c r="AM7" i="28" a="1"/>
  <c r="AM7" i="28"/>
  <c r="AV7" i="28"/>
  <c r="AW7" i="28"/>
  <c r="AY7" i="28" a="1"/>
  <c r="AY7" i="28"/>
  <c r="AZ7" i="28" a="1"/>
  <c r="AZ7" i="28"/>
  <c r="V8" i="28"/>
  <c r="W8" i="28"/>
  <c r="Y8" i="28" a="1"/>
  <c r="Y8" i="28"/>
  <c r="Z8" i="28" a="1"/>
  <c r="Z8" i="28"/>
  <c r="AI8" i="28"/>
  <c r="AJ8" i="28"/>
  <c r="AL8" i="28" a="1"/>
  <c r="AL8" i="28"/>
  <c r="AM8" i="28" a="1"/>
  <c r="AM8" i="28"/>
  <c r="AV8" i="28"/>
  <c r="AW8" i="28"/>
  <c r="AY8" i="28" a="1"/>
  <c r="AY8" i="28"/>
  <c r="AZ8" i="28" a="1"/>
  <c r="AZ8" i="28"/>
  <c r="V9" i="28"/>
  <c r="W9" i="28"/>
  <c r="Y9" i="28" a="1"/>
  <c r="Y9" i="28"/>
  <c r="Z9" i="28" a="1"/>
  <c r="Z9" i="28"/>
  <c r="AI9" i="28"/>
  <c r="AJ9" i="28"/>
  <c r="AL9" i="28" a="1"/>
  <c r="AL9" i="28"/>
  <c r="AM9" i="28" a="1"/>
  <c r="AM9" i="28"/>
  <c r="AV9" i="28"/>
  <c r="AW9" i="28"/>
  <c r="AY9" i="28" a="1"/>
  <c r="AY9" i="28"/>
  <c r="AZ9" i="28" a="1"/>
  <c r="AZ9" i="28"/>
  <c r="V10" i="28"/>
  <c r="W10" i="28"/>
  <c r="Y10" i="28" a="1"/>
  <c r="Y10" i="28"/>
  <c r="Z10" i="28" a="1"/>
  <c r="Z10" i="28"/>
  <c r="AI10" i="28"/>
  <c r="AJ10" i="28"/>
  <c r="AL10" i="28" a="1"/>
  <c r="AL10" i="28"/>
  <c r="AM10" i="28" a="1"/>
  <c r="AM10" i="28"/>
  <c r="V11" i="28"/>
  <c r="W11" i="28"/>
  <c r="Y11" i="28" a="1"/>
  <c r="Y11" i="28"/>
  <c r="Z11" i="28" a="1"/>
  <c r="Z11" i="28"/>
  <c r="AI11" i="28"/>
  <c r="AJ11" i="28"/>
  <c r="AL11" i="28" a="1"/>
  <c r="AL11" i="28"/>
  <c r="AM11" i="28" a="1"/>
  <c r="AM11" i="28"/>
  <c r="V12" i="28"/>
  <c r="W12" i="28"/>
  <c r="Y12" i="28" a="1"/>
  <c r="Y12" i="28"/>
  <c r="Z12" i="28" a="1"/>
  <c r="Z12" i="28"/>
  <c r="AI12" i="28"/>
  <c r="AJ12" i="28"/>
  <c r="AL12" i="28" a="1"/>
  <c r="AL12" i="28"/>
  <c r="AM12" i="28" a="1"/>
  <c r="AM12" i="28"/>
  <c r="V13" i="28"/>
  <c r="W13" i="28"/>
  <c r="Y13" i="28" a="1"/>
  <c r="Y13" i="28"/>
  <c r="Z13" i="28" a="1"/>
  <c r="Z13" i="28"/>
  <c r="AI13" i="28"/>
  <c r="AJ13" i="28"/>
  <c r="AL13" i="28" a="1"/>
  <c r="AL13" i="28"/>
  <c r="AM13" i="28" a="1"/>
  <c r="AM13" i="28"/>
  <c r="AI14" i="28"/>
  <c r="AJ14" i="28"/>
  <c r="AL14" i="28" a="1"/>
  <c r="AL14" i="28"/>
  <c r="AM14" i="28" a="1"/>
  <c r="AM14" i="28"/>
  <c r="M20" i="28"/>
  <c r="Y20" i="28"/>
  <c r="Z20" i="28"/>
  <c r="AL20" i="28"/>
  <c r="AM20" i="28"/>
  <c r="AY20" i="28"/>
  <c r="AZ20" i="28"/>
  <c r="E23" i="28"/>
  <c r="F23" i="28"/>
  <c r="Q23" i="28"/>
  <c r="R23" i="28"/>
  <c r="S23" i="28"/>
  <c r="AD23" i="28"/>
  <c r="AE23" i="28"/>
  <c r="AF23" i="28"/>
  <c r="AP23" i="28"/>
  <c r="AQ23" i="28"/>
  <c r="AR23" i="28"/>
  <c r="AS23" i="28"/>
  <c r="E24" i="28"/>
  <c r="F24" i="28"/>
  <c r="Q24" i="28"/>
  <c r="R24" i="28"/>
  <c r="S24" i="28"/>
  <c r="AD24" i="28"/>
  <c r="AE24" i="28"/>
  <c r="AF24" i="28"/>
  <c r="AP24" i="28"/>
  <c r="AQ24" i="28"/>
  <c r="AR24" i="28"/>
  <c r="AS24" i="28"/>
  <c r="E25" i="28"/>
  <c r="F25" i="28"/>
  <c r="Q25" i="28"/>
  <c r="R25" i="28"/>
  <c r="S25" i="28"/>
  <c r="AD25" i="28"/>
  <c r="AE25" i="28"/>
  <c r="AF25" i="28"/>
  <c r="AP25" i="28"/>
  <c r="AQ25" i="28"/>
  <c r="AR25" i="28"/>
  <c r="AS25" i="28"/>
  <c r="E26" i="28"/>
  <c r="F26" i="28"/>
  <c r="Q26" i="28"/>
  <c r="R26" i="28"/>
  <c r="S26" i="28"/>
  <c r="AD26" i="28"/>
  <c r="AE26" i="28"/>
  <c r="AF26" i="28"/>
  <c r="AP26" i="28"/>
  <c r="AQ26" i="28"/>
  <c r="AR26" i="28"/>
  <c r="AS26" i="28"/>
  <c r="I29" i="28"/>
  <c r="J29" i="28"/>
  <c r="M29" i="28" a="1"/>
  <c r="M29" i="28"/>
  <c r="V29" i="28"/>
  <c r="W29" i="28"/>
  <c r="Z29" i="28" a="1"/>
  <c r="Z29" i="28"/>
  <c r="AP29" i="28"/>
  <c r="AQ29" i="28"/>
  <c r="I30" i="28"/>
  <c r="J30" i="28"/>
  <c r="M30" i="28" a="1"/>
  <c r="M30" i="28"/>
  <c r="V30" i="28"/>
  <c r="W30" i="28"/>
  <c r="Z30" i="28" a="1"/>
  <c r="Z30" i="28"/>
  <c r="AP30" i="28"/>
  <c r="AQ30" i="28"/>
  <c r="I31" i="28"/>
  <c r="J31" i="28"/>
  <c r="M31" i="28" a="1"/>
  <c r="M31" i="28"/>
  <c r="V31" i="28"/>
  <c r="W31" i="28"/>
  <c r="Z31" i="28" a="1"/>
  <c r="Z31" i="28"/>
  <c r="AP31" i="28"/>
  <c r="AQ31" i="28"/>
  <c r="I32" i="28"/>
  <c r="J32" i="28"/>
  <c r="M32" i="28" a="1"/>
  <c r="M32" i="28"/>
  <c r="V32" i="28"/>
  <c r="W32" i="28"/>
  <c r="Y32" i="28" a="1"/>
  <c r="Y32" i="28"/>
  <c r="Z32" i="28" a="1"/>
  <c r="Z32" i="28"/>
  <c r="AP32" i="28"/>
  <c r="AQ32" i="28"/>
  <c r="I33" i="28"/>
  <c r="J33" i="28"/>
  <c r="M33" i="28" a="1"/>
  <c r="M33" i="28"/>
  <c r="V33" i="28"/>
  <c r="W33" i="28"/>
  <c r="Y33" i="28" a="1"/>
  <c r="Y33" i="28"/>
  <c r="Z33" i="28" a="1"/>
  <c r="Z33" i="28"/>
  <c r="AP33" i="28"/>
  <c r="AQ33" i="28"/>
  <c r="I34" i="28"/>
  <c r="J34" i="28"/>
  <c r="M34" i="28" a="1"/>
  <c r="M34" i="28"/>
  <c r="V34" i="28"/>
  <c r="W34" i="28"/>
  <c r="Y34" i="28" a="1"/>
  <c r="Y34" i="28"/>
  <c r="Z34" i="28" a="1"/>
  <c r="Z34" i="28"/>
  <c r="AP34" i="28"/>
  <c r="AQ34" i="28"/>
  <c r="I35" i="28"/>
  <c r="J35" i="28"/>
  <c r="M35" i="28" a="1"/>
  <c r="M35" i="28"/>
  <c r="V35" i="28"/>
  <c r="W35" i="28"/>
  <c r="Y35" i="28" a="1"/>
  <c r="Y35" i="28"/>
  <c r="Z35" i="28" a="1"/>
  <c r="Z35" i="28"/>
  <c r="AP35" i="28"/>
  <c r="AQ35" i="28"/>
  <c r="I36" i="28"/>
  <c r="J36" i="28"/>
  <c r="M36" i="28" a="1"/>
  <c r="M36" i="28"/>
  <c r="AP36" i="28"/>
  <c r="AQ36" i="28"/>
  <c r="AP37" i="28"/>
  <c r="AQ37" i="28"/>
  <c r="AP38" i="28"/>
  <c r="AQ38" i="28"/>
  <c r="AP39" i="28"/>
  <c r="AQ39" i="28"/>
  <c r="AQ60" i="28"/>
  <c r="M61" i="28"/>
  <c r="Y61" i="28"/>
  <c r="Z61" i="28"/>
  <c r="E64" i="28"/>
  <c r="F64" i="28"/>
  <c r="Q64" i="28"/>
  <c r="R64" i="28"/>
  <c r="S64" i="28"/>
  <c r="E65" i="28"/>
  <c r="F65" i="28"/>
  <c r="Q65" i="28"/>
  <c r="R65" i="28"/>
  <c r="S65" i="28"/>
  <c r="E66" i="28"/>
  <c r="F66" i="28"/>
  <c r="Q66" i="28"/>
  <c r="R66" i="28"/>
  <c r="S66" i="28"/>
  <c r="E67" i="28"/>
  <c r="F67" i="28"/>
  <c r="Q67" i="28"/>
  <c r="R67" i="28"/>
  <c r="S67" i="28"/>
  <c r="I3" i="52"/>
  <c r="J3" i="52"/>
  <c r="M3" i="52" a="1"/>
  <c r="M3" i="52"/>
  <c r="V3" i="52"/>
  <c r="W3" i="52"/>
  <c r="Z3" i="52" a="1"/>
  <c r="Z3" i="52"/>
  <c r="AI3" i="52"/>
  <c r="AJ3" i="52"/>
  <c r="AM3" i="52" a="1"/>
  <c r="AM3" i="52"/>
  <c r="AV3" i="52"/>
  <c r="AW3" i="52"/>
  <c r="AY3" i="52" a="1"/>
  <c r="AY3" i="52"/>
  <c r="AZ3" i="52" a="1"/>
  <c r="AZ3" i="52"/>
  <c r="I4" i="52"/>
  <c r="J4" i="52"/>
  <c r="M4" i="52" a="1"/>
  <c r="M4" i="52"/>
  <c r="V4" i="52"/>
  <c r="W4" i="52"/>
  <c r="Z4" i="52" a="1"/>
  <c r="Z4" i="52"/>
  <c r="AI4" i="52"/>
  <c r="AJ4" i="52"/>
  <c r="AM4" i="52" a="1"/>
  <c r="AM4" i="52"/>
  <c r="AV4" i="52"/>
  <c r="AW4" i="52"/>
  <c r="AY4" i="52" a="1"/>
  <c r="AY4" i="52"/>
  <c r="AZ4" i="52" a="1"/>
  <c r="AZ4" i="52"/>
  <c r="I5" i="52"/>
  <c r="J5" i="52"/>
  <c r="M5" i="52" a="1"/>
  <c r="M5" i="52"/>
  <c r="V5" i="52"/>
  <c r="W5" i="52"/>
  <c r="Z5" i="52" a="1"/>
  <c r="Z5" i="52"/>
  <c r="AI5" i="52"/>
  <c r="AJ5" i="52"/>
  <c r="AM5" i="52" a="1"/>
  <c r="AM5" i="52"/>
  <c r="AV5" i="52"/>
  <c r="AW5" i="52"/>
  <c r="AY5" i="52" a="1"/>
  <c r="AY5" i="52"/>
  <c r="AZ5" i="52" a="1"/>
  <c r="AZ5" i="52"/>
  <c r="I6" i="52"/>
  <c r="J6" i="52"/>
  <c r="M6" i="52" a="1"/>
  <c r="M6" i="52"/>
  <c r="V6" i="52"/>
  <c r="W6" i="52"/>
  <c r="Z6" i="52" a="1"/>
  <c r="Z6" i="52"/>
  <c r="AI6" i="52"/>
  <c r="AJ6" i="52"/>
  <c r="AM6" i="52" a="1"/>
  <c r="AM6" i="52"/>
  <c r="AV6" i="52"/>
  <c r="AW6" i="52"/>
  <c r="AY6" i="52" a="1"/>
  <c r="AY6" i="52"/>
  <c r="AZ6" i="52" a="1"/>
  <c r="AZ6" i="52"/>
  <c r="I7" i="52"/>
  <c r="J7" i="52"/>
  <c r="M7" i="52" a="1"/>
  <c r="M7" i="52"/>
  <c r="V7" i="52"/>
  <c r="W7" i="52"/>
  <c r="Y7" i="52" a="1"/>
  <c r="Y7" i="52"/>
  <c r="Z7" i="52" a="1"/>
  <c r="Z7" i="52"/>
  <c r="AI7" i="52"/>
  <c r="AJ7" i="52"/>
  <c r="AM7" i="52" a="1"/>
  <c r="AM7" i="52"/>
  <c r="AV7" i="52"/>
  <c r="AW7" i="52"/>
  <c r="AY7" i="52" a="1"/>
  <c r="AY7" i="52"/>
  <c r="AZ7" i="52" a="1"/>
  <c r="AZ7" i="52"/>
  <c r="I8" i="52"/>
  <c r="J8" i="52"/>
  <c r="M8" i="52" a="1"/>
  <c r="M8" i="52"/>
  <c r="V8" i="52"/>
  <c r="W8" i="52"/>
  <c r="Y8" i="52" a="1"/>
  <c r="Y8" i="52"/>
  <c r="Z8" i="52" a="1"/>
  <c r="Z8" i="52"/>
  <c r="AI8" i="52"/>
  <c r="AJ8" i="52"/>
  <c r="AL8" i="52" a="1"/>
  <c r="AL8" i="52"/>
  <c r="AM8" i="52" a="1"/>
  <c r="AM8" i="52"/>
  <c r="AV8" i="52"/>
  <c r="AW8" i="52"/>
  <c r="AY8" i="52" a="1"/>
  <c r="AY8" i="52"/>
  <c r="AZ8" i="52" a="1"/>
  <c r="AZ8" i="52"/>
  <c r="V9" i="52"/>
  <c r="W9" i="52"/>
  <c r="Y9" i="52" a="1"/>
  <c r="Y9" i="52"/>
  <c r="Z9" i="52" a="1"/>
  <c r="Z9" i="52"/>
  <c r="AI9" i="52"/>
  <c r="AJ9" i="52"/>
  <c r="AL9" i="52" a="1"/>
  <c r="AL9" i="52"/>
  <c r="AM9" i="52" a="1"/>
  <c r="AM9" i="52"/>
  <c r="AV9" i="52"/>
  <c r="AW9" i="52"/>
  <c r="AY9" i="52" a="1"/>
  <c r="AY9" i="52"/>
  <c r="AZ9" i="52" a="1"/>
  <c r="AZ9" i="52"/>
  <c r="V10" i="52"/>
  <c r="W10" i="52"/>
  <c r="Y10" i="52" a="1"/>
  <c r="Y10" i="52"/>
  <c r="Z10" i="52" a="1"/>
  <c r="Z10" i="52"/>
  <c r="AI10" i="52"/>
  <c r="AJ10" i="52"/>
  <c r="AL10" i="52" a="1"/>
  <c r="AL10" i="52"/>
  <c r="AM10" i="52" a="1"/>
  <c r="AM10" i="52"/>
  <c r="V11" i="52"/>
  <c r="W11" i="52"/>
  <c r="Y11" i="52" a="1"/>
  <c r="Y11" i="52"/>
  <c r="Z11" i="52" a="1"/>
  <c r="Z11" i="52"/>
  <c r="AI11" i="52"/>
  <c r="AJ11" i="52"/>
  <c r="AL11" i="52" a="1"/>
  <c r="AL11" i="52"/>
  <c r="AM11" i="52" a="1"/>
  <c r="AM11" i="52"/>
  <c r="V12" i="52"/>
  <c r="W12" i="52"/>
  <c r="Y12" i="52" a="1"/>
  <c r="Y12" i="52"/>
  <c r="Z12" i="52" a="1"/>
  <c r="Z12" i="52"/>
  <c r="AI12" i="52"/>
  <c r="AJ12" i="52"/>
  <c r="AL12" i="52" a="1"/>
  <c r="AL12" i="52"/>
  <c r="AM12" i="52" a="1"/>
  <c r="AM12" i="52"/>
  <c r="V13" i="52"/>
  <c r="W13" i="52"/>
  <c r="Y13" i="52" a="1"/>
  <c r="Y13" i="52"/>
  <c r="Z13" i="52" a="1"/>
  <c r="Z13" i="52"/>
  <c r="AI13" i="52"/>
  <c r="AJ13" i="52"/>
  <c r="AL13" i="52" a="1"/>
  <c r="AL13" i="52"/>
  <c r="AM13" i="52" a="1"/>
  <c r="AM13" i="52"/>
  <c r="AI14" i="52"/>
  <c r="AJ14" i="52"/>
  <c r="AL14" i="52" a="1"/>
  <c r="AL14" i="52"/>
  <c r="AM14" i="52" a="1"/>
  <c r="AM14" i="52"/>
  <c r="M20" i="52"/>
  <c r="Y20" i="52"/>
  <c r="Z20" i="52"/>
  <c r="AL20" i="52"/>
  <c r="AM20" i="52"/>
  <c r="AY20" i="52"/>
  <c r="AZ20" i="52"/>
  <c r="E23" i="52"/>
  <c r="F23" i="52"/>
  <c r="Q23" i="52"/>
  <c r="R23" i="52"/>
  <c r="S23" i="52"/>
  <c r="AD23" i="52"/>
  <c r="AE23" i="52"/>
  <c r="AF23" i="52"/>
  <c r="AP23" i="52"/>
  <c r="AQ23" i="52"/>
  <c r="AR23" i="52"/>
  <c r="AS23" i="52"/>
  <c r="E24" i="52"/>
  <c r="F24" i="52"/>
  <c r="Q24" i="52"/>
  <c r="R24" i="52"/>
  <c r="S24" i="52"/>
  <c r="AD24" i="52"/>
  <c r="AE24" i="52"/>
  <c r="AF24" i="52"/>
  <c r="AP24" i="52"/>
  <c r="AQ24" i="52"/>
  <c r="AR24" i="52"/>
  <c r="AS24" i="52"/>
  <c r="E25" i="52"/>
  <c r="F25" i="52"/>
  <c r="Q25" i="52"/>
  <c r="R25" i="52"/>
  <c r="S25" i="52"/>
  <c r="AD25" i="52"/>
  <c r="AE25" i="52"/>
  <c r="AF25" i="52"/>
  <c r="AP25" i="52"/>
  <c r="AQ25" i="52"/>
  <c r="AR25" i="52"/>
  <c r="AS25" i="52"/>
  <c r="E26" i="52"/>
  <c r="F26" i="52"/>
  <c r="Q26" i="52"/>
  <c r="R26" i="52"/>
  <c r="S26" i="52"/>
  <c r="AD26" i="52"/>
  <c r="AE26" i="52"/>
  <c r="AF26" i="52"/>
  <c r="AP26" i="52"/>
  <c r="AQ26" i="52"/>
  <c r="AR26" i="52"/>
  <c r="AS26" i="52"/>
  <c r="I29" i="52"/>
  <c r="J29" i="52"/>
  <c r="M29" i="52" a="1"/>
  <c r="M29" i="52"/>
  <c r="V29" i="52"/>
  <c r="W29" i="52"/>
  <c r="Z29" i="52" a="1"/>
  <c r="Z29" i="52"/>
  <c r="AP29" i="52"/>
  <c r="AQ29" i="52"/>
  <c r="I30" i="52"/>
  <c r="J30" i="52"/>
  <c r="M30" i="52" a="1"/>
  <c r="M30" i="52"/>
  <c r="V30" i="52"/>
  <c r="W30" i="52"/>
  <c r="Z30" i="52" a="1"/>
  <c r="Z30" i="52"/>
  <c r="AP30" i="52"/>
  <c r="AQ30" i="52"/>
  <c r="I31" i="52"/>
  <c r="J31" i="52"/>
  <c r="M31" i="52" a="1"/>
  <c r="M31" i="52"/>
  <c r="V31" i="52"/>
  <c r="W31" i="52"/>
  <c r="Z31" i="52" a="1"/>
  <c r="Z31" i="52"/>
  <c r="AP31" i="52"/>
  <c r="AQ31" i="52"/>
  <c r="I32" i="52"/>
  <c r="J32" i="52"/>
  <c r="M32" i="52" a="1"/>
  <c r="M32" i="52"/>
  <c r="V32" i="52"/>
  <c r="W32" i="52"/>
  <c r="Y32" i="52" a="1"/>
  <c r="Y32" i="52"/>
  <c r="Z32" i="52" a="1"/>
  <c r="Z32" i="52"/>
  <c r="AP32" i="52"/>
  <c r="AQ32" i="52"/>
  <c r="I33" i="52"/>
  <c r="J33" i="52"/>
  <c r="M33" i="52" a="1"/>
  <c r="M33" i="52"/>
  <c r="V33" i="52"/>
  <c r="W33" i="52"/>
  <c r="Y33" i="52" a="1"/>
  <c r="Y33" i="52"/>
  <c r="Z33" i="52" a="1"/>
  <c r="Z33" i="52"/>
  <c r="AP33" i="52"/>
  <c r="AQ33" i="52"/>
  <c r="I34" i="52"/>
  <c r="J34" i="52"/>
  <c r="M34" i="52" a="1"/>
  <c r="M34" i="52"/>
  <c r="V34" i="52"/>
  <c r="W34" i="52"/>
  <c r="Y34" i="52" a="1"/>
  <c r="Y34" i="52"/>
  <c r="Z34" i="52" a="1"/>
  <c r="Z34" i="52"/>
  <c r="AP34" i="52"/>
  <c r="AQ34" i="52"/>
  <c r="I35" i="52"/>
  <c r="J35" i="52"/>
  <c r="M35" i="52" a="1"/>
  <c r="M35" i="52"/>
  <c r="V35" i="52"/>
  <c r="W35" i="52"/>
  <c r="Y35" i="52" a="1"/>
  <c r="Y35" i="52"/>
  <c r="Z35" i="52" a="1"/>
  <c r="Z35" i="52"/>
  <c r="AP35" i="52"/>
  <c r="AQ35" i="52"/>
  <c r="I36" i="52"/>
  <c r="J36" i="52"/>
  <c r="M36" i="52" a="1"/>
  <c r="M36" i="52"/>
  <c r="AP36" i="52"/>
  <c r="AQ36" i="52"/>
  <c r="AP37" i="52"/>
  <c r="AQ37" i="52"/>
  <c r="AP38" i="52"/>
  <c r="AQ38" i="52"/>
  <c r="AP39" i="52"/>
  <c r="AQ39" i="52"/>
  <c r="AQ60" i="52"/>
  <c r="M61" i="52"/>
  <c r="Y61" i="52"/>
  <c r="Z61" i="52"/>
  <c r="E64" i="52"/>
  <c r="F64" i="52"/>
  <c r="Q64" i="52"/>
  <c r="R64" i="52"/>
  <c r="S64" i="52"/>
  <c r="E65" i="52"/>
  <c r="F65" i="52"/>
  <c r="Q65" i="52"/>
  <c r="R65" i="52"/>
  <c r="S65" i="52"/>
  <c r="E66" i="52"/>
  <c r="F66" i="52"/>
  <c r="Q66" i="52"/>
  <c r="R66" i="52"/>
  <c r="S66" i="52"/>
  <c r="E67" i="52"/>
  <c r="F67" i="52"/>
  <c r="Q67" i="52"/>
  <c r="R67" i="52"/>
  <c r="S67" i="5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<sst xmlns="http://schemas.openxmlformats.org/spreadsheetml/2006/main" count="1451" uniqueCount="66">
  <si>
    <t>Name</t>
  </si>
  <si>
    <t>Hours</t>
  </si>
  <si>
    <t>Tips</t>
  </si>
  <si>
    <t>Food</t>
  </si>
  <si>
    <t>Alcohol</t>
  </si>
  <si>
    <t>Total</t>
  </si>
  <si>
    <t>AM/PM</t>
  </si>
  <si>
    <t>Job Code</t>
  </si>
  <si>
    <t>Net Tipout</t>
  </si>
  <si>
    <t>Take home</t>
  </si>
  <si>
    <t>Alcohol Tipout</t>
  </si>
  <si>
    <t>Food Tipout</t>
  </si>
  <si>
    <t>Host Tipout</t>
  </si>
  <si>
    <t>Ryan F</t>
  </si>
  <si>
    <t>AM</t>
  </si>
  <si>
    <t>Bartender</t>
  </si>
  <si>
    <t>Savanna U</t>
  </si>
  <si>
    <t>Danielle R</t>
  </si>
  <si>
    <t>Server</t>
  </si>
  <si>
    <t>Caleb P</t>
  </si>
  <si>
    <t>PM</t>
  </si>
  <si>
    <t>Cameron G</t>
  </si>
  <si>
    <t>Maddie S</t>
  </si>
  <si>
    <t>Dawn K</t>
  </si>
  <si>
    <t>Tori P</t>
  </si>
  <si>
    <t>Katie H</t>
  </si>
  <si>
    <t>Food Runner</t>
  </si>
  <si>
    <t>Loren W</t>
  </si>
  <si>
    <t>Jamie H</t>
  </si>
  <si>
    <t>Allen S</t>
  </si>
  <si>
    <t>Host</t>
  </si>
  <si>
    <t>Jordan B</t>
  </si>
  <si>
    <t>Sam P</t>
  </si>
  <si>
    <t>Expo</t>
  </si>
  <si>
    <t>Checks Should be 0</t>
  </si>
  <si>
    <t>hours</t>
  </si>
  <si>
    <t>tipout</t>
  </si>
  <si>
    <t>tips</t>
  </si>
  <si>
    <t>tipout hourly</t>
  </si>
  <si>
    <t>tips hourly</t>
  </si>
  <si>
    <t>Weekly Summary</t>
  </si>
  <si>
    <t>Weekly Tips</t>
  </si>
  <si>
    <t>Hourly</t>
  </si>
  <si>
    <t>Job Codes</t>
  </si>
  <si>
    <t>Eve P</t>
  </si>
  <si>
    <t>Enter BOH Hours</t>
  </si>
  <si>
    <t>start day</t>
  </si>
  <si>
    <t>end day</t>
  </si>
  <si>
    <t>tab string</t>
  </si>
  <si>
    <t>Labor %</t>
  </si>
  <si>
    <t>FOH</t>
  </si>
  <si>
    <t>Food %</t>
  </si>
  <si>
    <t>Alcohol %</t>
  </si>
  <si>
    <t>FOH Labor Hours Over Sales</t>
  </si>
  <si>
    <t>Over Total Sales</t>
  </si>
  <si>
    <t>Jeff</t>
  </si>
  <si>
    <t>Jessica</t>
  </si>
  <si>
    <t>Jack</t>
  </si>
  <si>
    <t>Mike</t>
  </si>
  <si>
    <t>Chris</t>
  </si>
  <si>
    <t>Steve</t>
  </si>
  <si>
    <t>Carl</t>
  </si>
  <si>
    <t>Bill</t>
  </si>
  <si>
    <t>Aga</t>
  </si>
  <si>
    <t>Colin</t>
  </si>
  <si>
    <t>Zoe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</si>
</sst>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0_);\(0.00\)"/>
    <numFmt numFmtId="165" formatCode="0;\-0;;@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9">
    <xf numFmtId="0" fontId="0" fillId="0" borderId="0" xfId="0"/>
    <xf numFmtId="44" fontId="0" fillId="2" borderId="1" xfId="1" applyFont="1" applyFill="1" applyBorder="1"/>
    <xf numFmtId="44" fontId="0" fillId="5" borderId="1" xfId="1" applyFont="1" applyFill="1" applyBorder="1"/>
    <xf numFmtId="44" fontId="0" fillId="7" borderId="1" xfId="1" applyFont="1" applyFill="1" applyBorder="1"/>
    <xf numFmtId="44" fontId="0" fillId="6" borderId="1" xfId="1" applyFont="1" applyFill="1" applyBorder="1" applyProtection="1">
      <protection locked="0"/>
    </xf>
    <xf numFmtId="2" fontId="0" fillId="6" borderId="1" xfId="1" applyNumberFormat="1" applyFont="1" applyFill="1" applyBorder="1" applyProtection="1">
      <protection locked="0"/>
    </xf>
    <xf numFmtId="9" fontId="0" fillId="0" borderId="0" xfId="2" applyFont="1" applyProtection="1">
      <protection locked="0"/>
    </xf>
    <xf numFmtId="44" fontId="0" fillId="0" borderId="0" xfId="1" applyFont="1" applyProtection="1">
      <protection locked="0"/>
    </xf>
    <xf numFmtId="44" fontId="4" fillId="0" borderId="0" xfId="1" applyFont="1" applyProtection="1">
      <protection locked="0"/>
    </xf>
    <xf numFmtId="44" fontId="0" fillId="3" borderId="1" xfId="1" applyFont="1" applyFill="1" applyBorder="1" applyProtection="1">
      <protection locked="0"/>
    </xf>
    <xf numFmtId="2" fontId="0" fillId="3" borderId="1" xfId="1" applyNumberFormat="1" applyFont="1" applyFill="1" applyBorder="1" applyProtection="1">
      <protection locked="0"/>
    </xf>
    <xf numFmtId="44" fontId="0" fillId="4" borderId="1" xfId="1" applyFont="1" applyFill="1" applyBorder="1" applyProtection="1">
      <protection locked="0"/>
    </xf>
    <xf numFmtId="2" fontId="0" fillId="4" borderId="1" xfId="1" applyNumberFormat="1" applyFont="1" applyFill="1" applyBorder="1" applyProtection="1">
      <protection locked="0"/>
    </xf>
    <xf numFmtId="2" fontId="0" fillId="0" borderId="0" xfId="1" applyNumberFormat="1" applyFont="1" applyProtection="1">
      <protection locked="0"/>
    </xf>
    <xf numFmtId="44" fontId="6" fillId="10" borderId="0" xfId="1" applyFont="1" applyFill="1" applyProtection="1">
      <protection locked="0"/>
    </xf>
    <xf numFmtId="2" fontId="6" fillId="10" borderId="0" xfId="1" applyNumberFormat="1" applyFont="1" applyFill="1" applyProtection="1">
      <protection locked="0"/>
    </xf>
    <xf numFmtId="44" fontId="0" fillId="8" borderId="1" xfId="1" applyFont="1" applyFill="1" applyBorder="1" applyProtection="1">
      <protection locked="0"/>
    </xf>
    <xf numFmtId="2" fontId="0" fillId="8" borderId="1" xfId="1" applyNumberFormat="1" applyFont="1" applyFill="1" applyBorder="1" applyProtection="1">
      <protection locked="0"/>
    </xf>
    <xf numFmtId="44" fontId="1" fillId="0" borderId="0" xfId="1" applyFont="1" applyProtection="1">
      <protection locked="0"/>
    </xf>
    <xf numFmtId="165" fontId="0" fillId="0" borderId="0" xfId="1" applyNumberFormat="1" applyFont="1" applyProtection="1">
      <protection locked="0"/>
    </xf>
    <xf numFmtId="44" fontId="3" fillId="0" borderId="0" xfId="1" applyFont="1" applyFill="1" applyProtection="1">
      <protection locked="0"/>
    </xf>
    <xf numFmtId="44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64" fontId="5" fillId="0" borderId="0" xfId="1" applyNumberFormat="1" applyFont="1" applyFill="1" applyAlignment="1" applyProtection="1">
      <alignment horizontal="center" vertical="center"/>
      <protection locked="0"/>
    </xf>
    <xf numFmtId="44" fontId="0" fillId="2" borderId="0" xfId="1" applyFont="1" applyFill="1" applyProtection="1">
      <protection locked="0"/>
    </xf>
    <xf numFmtId="9" fontId="0" fillId="0" borderId="0" xfId="2" applyFont="1" applyProtection="1"/>
    <xf numFmtId="44" fontId="2" fillId="2" borderId="1" xfId="1" applyFont="1" applyFill="1" applyBorder="1" applyProtection="1"/>
    <xf numFmtId="2" fontId="2" fillId="2" borderId="1" xfId="1" applyNumberFormat="1" applyFont="1" applyFill="1" applyBorder="1" applyProtection="1"/>
    <xf numFmtId="44" fontId="2" fillId="2" borderId="1" xfId="1" applyFont="1" applyFill="1" applyBorder="1" applyAlignment="1" applyProtection="1">
      <alignment horizontal="center"/>
    </xf>
    <xf numFmtId="44" fontId="0" fillId="0" borderId="0" xfId="1" applyFont="1" applyProtection="1"/>
    <xf numFmtId="44" fontId="2" fillId="7" borderId="1" xfId="1" applyFont="1" applyFill="1" applyBorder="1" applyProtection="1"/>
    <xf numFmtId="2" fontId="2" fillId="7" borderId="1" xfId="1" applyNumberFormat="1" applyFont="1" applyFill="1" applyBorder="1" applyProtection="1"/>
    <xf numFmtId="44" fontId="2" fillId="7" borderId="1" xfId="1" applyFont="1" applyFill="1" applyBorder="1" applyAlignment="1" applyProtection="1">
      <alignment horizontal="center"/>
    </xf>
    <xf numFmtId="44" fontId="2" fillId="5" borderId="1" xfId="1" applyFont="1" applyFill="1" applyBorder="1" applyProtection="1"/>
    <xf numFmtId="2" fontId="2" fillId="5" borderId="1" xfId="1" applyNumberFormat="1" applyFont="1" applyFill="1" applyBorder="1" applyProtection="1"/>
    <xf numFmtId="44" fontId="2" fillId="5" borderId="1" xfId="1" applyFont="1" applyFill="1" applyBorder="1" applyAlignment="1" applyProtection="1">
      <alignment horizontal="center"/>
    </xf>
    <xf numFmtId="44" fontId="0" fillId="7" borderId="1" xfId="1" applyFont="1" applyFill="1" applyBorder="1" applyProtection="1"/>
    <xf numFmtId="44" fontId="0" fillId="5" borderId="1" xfId="1" applyFont="1" applyFill="1" applyBorder="1" applyProtection="1"/>
    <xf numFmtId="44" fontId="0" fillId="2" borderId="1" xfId="1" applyFont="1" applyFill="1" applyBorder="1" applyProtection="1"/>
    <xf numFmtId="44" fontId="2" fillId="9" borderId="1" xfId="1" applyFont="1" applyFill="1" applyBorder="1" applyProtection="1"/>
    <xf numFmtId="2" fontId="2" fillId="9" borderId="1" xfId="1" applyNumberFormat="1" applyFont="1" applyFill="1" applyBorder="1" applyProtection="1"/>
    <xf numFmtId="44" fontId="2" fillId="9" borderId="1" xfId="1" applyFont="1" applyFill="1" applyBorder="1" applyAlignment="1" applyProtection="1">
      <alignment horizontal="center"/>
    </xf>
    <xf numFmtId="44" fontId="0" fillId="9" borderId="1" xfId="1" applyFont="1" applyFill="1" applyBorder="1" applyProtection="1"/>
    <xf numFmtId="2" fontId="6" fillId="10" borderId="0" xfId="1" applyNumberFormat="1" applyFont="1" applyFill="1" applyProtection="1"/>
    <xf numFmtId="44" fontId="6" fillId="10" borderId="0" xfId="1" applyFont="1" applyFill="1" applyProtection="1"/>
    <xf numFmtId="165" fontId="0" fillId="0" borderId="0" xfId="1" applyNumberFormat="1" applyFont="1" applyProtection="1"/>
    <xf numFmtId="44" fontId="3" fillId="0" borderId="0" xfId="1" applyFont="1" applyFill="1" applyProtection="1"/>
    <xf numFmtId="164" fontId="5" fillId="0" borderId="0" xfId="1" applyNumberFormat="1" applyFont="1" applyFill="1" applyAlignment="1" applyProtection="1">
      <alignment horizontal="center" vertical="center"/>
    </xf>
    <xf numFmtId="44" fontId="5" fillId="0" borderId="0" xfId="1" applyFont="1" applyProtection="1"/>
    <xf numFmtId="44" fontId="0" fillId="9" borderId="0" xfId="1" applyFont="1" applyFill="1" applyProtection="1">
      <protection locked="0"/>
    </xf>
    <xf numFmtId="44" fontId="0" fillId="0" borderId="0" xfId="1" applyFont="1" applyAlignment="1" applyProtection="1">
      <alignment horizontal="center"/>
      <protection locked="0"/>
    </xf>
    <xf numFmtId="2" fontId="0" fillId="0" borderId="0" xfId="1" applyNumberFormat="1" applyFont="1" applyProtection="1"/>
    <xf numFmtId="44" fontId="0" fillId="0" borderId="0" xfId="1" applyFont="1" applyAlignment="1" applyProtection="1">
      <alignment horizontal="center"/>
    </xf>
    <xf numFmtId="44" fontId="5" fillId="0" borderId="0" xfId="1" applyFont="1" applyProtection="1">
      <protection locked="0"/>
    </xf>
    <xf numFmtId="44" fontId="4" fillId="0" borderId="0" xfId="1" applyFont="1" applyProtection="1"/>
    <xf numFmtId="44" fontId="0" fillId="3" borderId="1" xfId="1" applyFont="1" applyFill="1" applyBorder="1" applyProtection="1"/>
    <xf numFmtId="2" fontId="0" fillId="3" borderId="1" xfId="1" applyNumberFormat="1" applyFont="1" applyFill="1" applyBorder="1" applyProtection="1"/>
    <xf numFmtId="44" fontId="0" fillId="6" borderId="1" xfId="1" applyFont="1" applyFill="1" applyBorder="1" applyProtection="1"/>
    <xf numFmtId="2" fontId="0" fillId="6" borderId="1" xfId="1" applyNumberFormat="1" applyFont="1" applyFill="1" applyBorder="1" applyProtection="1"/>
    <xf numFmtId="44" fontId="0" fillId="4" borderId="1" xfId="1" applyFont="1" applyFill="1" applyBorder="1" applyProtection="1"/>
    <xf numFmtId="2" fontId="0" fillId="4" borderId="1" xfId="1" applyNumberFormat="1" applyFont="1" applyFill="1" applyBorder="1" applyProtection="1"/>
    <xf numFmtId="44" fontId="0" fillId="8" borderId="1" xfId="1" applyFont="1" applyFill="1" applyBorder="1" applyProtection="1"/>
    <xf numFmtId="2" fontId="0" fillId="8" borderId="1" xfId="1" applyNumberFormat="1" applyFont="1" applyFill="1" applyBorder="1" applyProtection="1"/>
    <xf numFmtId="44" fontId="1" fillId="0" borderId="0" xfId="1" applyFont="1" applyProtection="1"/>
    <xf numFmtId="44" fontId="0" fillId="2" borderId="0" xfId="1" applyFont="1" applyFill="1" applyProtection="1"/>
    <xf numFmtId="44" fontId="0" fillId="9" borderId="0" xfId="1" applyFont="1" applyFill="1" applyProtection="1"/>
    <xf numFmtId="0" fontId="0" fillId="0" borderId="0" xfId="1" applyNumberFormat="1" applyFont="1" applyProtection="1">
      <protection locked="0"/>
    </xf>
    <xf numFmtId="14" fontId="1" fillId="12" borderId="1" xfId="1" applyNumberFormat="1" applyFont="1" applyFill="1" applyBorder="1" applyAlignment="1" applyProtection="1">
      <alignment horizontal="center" vertical="center"/>
      <protection locked="0"/>
    </xf>
    <xf numFmtId="14" fontId="1" fillId="13" borderId="1" xfId="1" applyNumberFormat="1" applyFont="1" applyFill="1" applyBorder="1" applyAlignment="1" applyProtection="1">
      <alignment horizontal="center" vertical="center"/>
    </xf>
    <xf numFmtId="14" fontId="1" fillId="14" borderId="1" xfId="1" applyNumberFormat="1" applyFont="1" applyFill="1" applyBorder="1" applyAlignment="1" applyProtection="1">
      <alignment horizontal="center" vertical="center"/>
    </xf>
    <xf numFmtId="14" fontId="1" fillId="15" borderId="1" xfId="1" applyNumberFormat="1" applyFont="1" applyFill="1" applyBorder="1" applyAlignment="1" applyProtection="1">
      <alignment horizontal="center" vertical="center"/>
    </xf>
    <xf numFmtId="14" fontId="1" fillId="12" borderId="1" xfId="1" applyNumberFormat="1" applyFont="1" applyFill="1" applyBorder="1" applyAlignment="1" applyProtection="1">
      <alignment horizontal="center" vertical="center"/>
    </xf>
    <xf numFmtId="0" fontId="0" fillId="0" borderId="0" xfId="1" applyNumberFormat="1" applyFont="1" applyProtection="1"/>
    <xf numFmtId="44" fontId="0" fillId="0" borderId="0" xfId="0" applyNumberFormat="1"/>
    <xf numFmtId="2" fontId="0" fillId="0" borderId="0" xfId="0" applyNumberFormat="1"/>
    <xf numFmtId="44" fontId="4" fillId="12" borderId="3" xfId="1" applyFont="1" applyFill="1" applyBorder="1" applyAlignment="1" applyProtection="1">
      <alignment horizontal="center" vertical="center"/>
    </xf>
    <xf numFmtId="44" fontId="4" fillId="12" borderId="4" xfId="1" applyFont="1" applyFill="1" applyBorder="1" applyAlignment="1" applyProtection="1">
      <alignment horizontal="center" vertical="center"/>
    </xf>
    <xf numFmtId="44" fontId="4" fillId="12" borderId="2" xfId="1" applyFont="1" applyFill="1" applyBorder="1" applyAlignment="1" applyProtection="1">
      <alignment horizontal="center" vertical="center"/>
    </xf>
    <xf numFmtId="44" fontId="4" fillId="13" borderId="3" xfId="1" applyFont="1" applyFill="1" applyBorder="1" applyAlignment="1" applyProtection="1">
      <alignment horizontal="center" vertical="center"/>
    </xf>
    <xf numFmtId="44" fontId="4" fillId="13" borderId="4" xfId="1" applyFont="1" applyFill="1" applyBorder="1" applyAlignment="1" applyProtection="1">
      <alignment horizontal="center" vertical="center"/>
    </xf>
    <xf numFmtId="44" fontId="4" fillId="13" borderId="2" xfId="1" applyFont="1" applyFill="1" applyBorder="1" applyAlignment="1" applyProtection="1">
      <alignment horizontal="center" vertical="center"/>
    </xf>
    <xf numFmtId="44" fontId="4" fillId="14" borderId="3" xfId="1" applyFont="1" applyFill="1" applyBorder="1" applyAlignment="1" applyProtection="1">
      <alignment horizontal="center" vertical="center"/>
    </xf>
    <xf numFmtId="44" fontId="4" fillId="14" borderId="4" xfId="1" applyFont="1" applyFill="1" applyBorder="1" applyAlignment="1" applyProtection="1">
      <alignment horizontal="center" vertical="center"/>
    </xf>
    <xf numFmtId="44" fontId="4" fillId="14" borderId="2" xfId="1" applyFont="1" applyFill="1" applyBorder="1" applyAlignment="1" applyProtection="1">
      <alignment horizontal="center" vertical="center"/>
    </xf>
    <xf numFmtId="44" fontId="4" fillId="15" borderId="3" xfId="1" applyFont="1" applyFill="1" applyBorder="1" applyAlignment="1" applyProtection="1">
      <alignment horizontal="center" vertical="center"/>
    </xf>
    <xf numFmtId="44" fontId="4" fillId="15" borderId="4" xfId="1" applyFont="1" applyFill="1" applyBorder="1" applyAlignment="1" applyProtection="1">
      <alignment horizontal="center" vertical="center"/>
    </xf>
    <xf numFmtId="44" fontId="4" fillId="15" borderId="2" xfId="1" applyFont="1" applyFill="1" applyBorder="1" applyAlignment="1" applyProtection="1">
      <alignment horizontal="center" vertical="center"/>
    </xf>
    <xf numFmtId="44" fontId="4" fillId="11" borderId="0" xfId="1" applyFont="1" applyFill="1" applyAlignment="1" applyProtection="1">
      <alignment horizontal="center"/>
      <protection locked="0"/>
    </xf>
    <xf numFmtId="44" fontId="4" fillId="11" borderId="0" xfId="1" applyFont="1" applyFill="1" applyAlignment="1" applyProtection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76">
    <dxf>
      <numFmt numFmtId="34" formatCode="_(&quot;$&quot;* #,##0.00_);_(&quot;$&quot;* \(#,##0.00\);_(&quot;$&quot;* &quot;-&quot;??_);_(@_)"/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1" hidden="0"/>
    </dxf>
    <dxf>
      <numFmt numFmtId="34" formatCode="_(&quot;$&quot;* #,##0.00_);_(&quot;$&quot;* \(#,##0.00\);_(&quot;$&quot;* &quot;-&quot;??_);_(@_)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_);\(0.00\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1" hidden="0"/>
    </dxf>
    <dxf>
      <numFmt numFmtId="2" formatCode="0.00"/>
      <protection locked="1" hidden="0"/>
    </dxf>
    <dxf>
      <numFmt numFmtId="165" formatCode="0;\-0;;@"/>
      <protection locked="1" hidden="0"/>
    </dxf>
    <dxf>
      <numFmt numFmtId="34" formatCode="_(&quot;$&quot;* #,##0.00_);_(&quot;$&quot;* \(#,##0.00\);_(&quot;$&quot;* &quot;-&quot;??_);_(@_)"/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1" hidden="0"/>
    </dxf>
    <dxf>
      <protection locked="1" hidden="0"/>
    </dxf>
    <dxf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protection locked="1" hidden="0"/>
    </dxf>
    <dxf>
      <numFmt numFmtId="34" formatCode="_(&quot;$&quot;* #,##0.00_);_(&quot;$&quot;* \(#,##0.00\);_(&quot;$&quot;* &quot;-&quot;??_);_(@_)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_);\(0.00\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numFmt numFmtId="2" formatCode="0.00"/>
      <protection locked="0" hidden="0"/>
    </dxf>
    <dxf>
      <numFmt numFmtId="165" formatCode="0;\-0;;@"/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protection locked="0" hidden="0"/>
    </dxf>
    <dxf>
      <numFmt numFmtId="34" formatCode="_(&quot;$&quot;* #,##0.00_);_(&quot;$&quot;* \(#,##0.00\);_(&quot;$&quot;* &quot;-&quot;??_);_(@_)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_);\(0.00\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numFmt numFmtId="2" formatCode="0.00"/>
      <protection locked="0" hidden="0"/>
    </dxf>
    <dxf>
      <numFmt numFmtId="165" formatCode="0;\-0;;@"/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protection locked="0" hidden="0"/>
    </dxf>
    <dxf>
      <numFmt numFmtId="34" formatCode="_(&quot;$&quot;* #,##0.00_);_(&quot;$&quot;* \(#,##0.00\);_(&quot;$&quot;* &quot;-&quot;??_);_(@_)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0_);\(0.00\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protection locked="0" hidden="0"/>
    </dxf>
    <dxf>
      <numFmt numFmtId="2" formatCode="0.00"/>
      <protection locked="0" hidden="0"/>
    </dxf>
    <dxf>
      <numFmt numFmtId="165" formatCode="0;\-0;;@"/>
      <protection locked="0" hidden="0"/>
    </dxf>
    <dxf>
      <numFmt numFmtId="34" formatCode="_(&quot;$&quot;* #,##0.00_);_(&quot;$&quot;* \(#,##0.00\);_(&quot;$&quot;* &quot;-&quot;??_);_(@_)"/>
      <protection locked="0" hidden="0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protection locked="0" hidden="0"/>
    </dxf>
    <dxf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4" tint="0.59999389629810485"/>
        </patternFill>
      </fill>
      <protection locked="0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-nc/3.0/" TargetMode="External"/><Relationship Id="rId2" Type="http://schemas.openxmlformats.org/officeDocument/2006/relationships/hyperlink" Target="https://www.pngall.com/delete-png/download/49681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-nc/3.0/" TargetMode="External"/><Relationship Id="rId2" Type="http://schemas.openxmlformats.org/officeDocument/2006/relationships/hyperlink" Target="https://www.pngall.com/delete-png/download/49681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-nc/3.0/" TargetMode="External"/><Relationship Id="rId2" Type="http://schemas.openxmlformats.org/officeDocument/2006/relationships/hyperlink" Target="https://www.pngall.com/delete-png/download/49681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-nc/3.0/" TargetMode="External"/><Relationship Id="rId2" Type="http://schemas.openxmlformats.org/officeDocument/2006/relationships/hyperlink" Target="https://www.pngall.com/delete-png/download/49681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391360</xdr:colOff>
      <xdr:row>27</xdr:row>
      <xdr:rowOff>88900</xdr:rowOff>
    </xdr:from>
    <xdr:to>
      <xdr:col>53</xdr:col>
      <xdr:colOff>0</xdr:colOff>
      <xdr:row>35</xdr:row>
      <xdr:rowOff>129332</xdr:rowOff>
    </xdr:to>
    <xdr:pic macro="[0]!CombineMacros">
      <xdr:nvPicPr>
        <xdr:cNvPr id="2" name="Picture 1" descr="Delete PNG Picture - PNG All">
          <a:extLst>
            <a:ext uri="{FF2B5EF4-FFF2-40B4-BE49-F238E27FC236}">
              <a16:creationId xmlns:a16="http://schemas.microsoft.com/office/drawing/2014/main" id="{A66C48B2-B1B6-DD46-BBD1-27897E5E4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/>
        <a:stretch/>
      </xdr:blipFill>
      <xdr:spPr>
        <a:xfrm>
          <a:off x="30249060" y="4064000"/>
          <a:ext cx="2364540" cy="1704132"/>
        </a:xfrm>
        <a:prstGeom prst="rect">
          <a:avLst/>
        </a:prstGeom>
      </xdr:spPr>
    </xdr:pic>
    <xdr:clientData/>
  </xdr:twoCellAnchor>
  <xdr:oneCellAnchor>
    <xdr:from>
      <xdr:col>47</xdr:col>
      <xdr:colOff>226260</xdr:colOff>
      <xdr:row>38</xdr:row>
      <xdr:rowOff>165100</xdr:rowOff>
    </xdr:from>
    <xdr:ext cx="3154280" cy="233205"/>
    <xdr:sp macro="[0]!CombineMacros" textlink="">
      <xdr:nvSpPr>
        <xdr:cNvPr id="3" name="TextBox 2">
          <a:extLst>
            <a:ext uri="{FF2B5EF4-FFF2-40B4-BE49-F238E27FC236}">
              <a16:creationId xmlns:a16="http://schemas.microsoft.com/office/drawing/2014/main" id="{EE3D9063-48AE-0443-8AB2-F853930ED123}"/>
            </a:ext>
          </a:extLst>
        </xdr:cNvPr>
        <xdr:cNvSpPr txBox="1"/>
      </xdr:nvSpPr>
      <xdr:spPr>
        <a:xfrm>
          <a:off x="30083960" y="6413500"/>
          <a:ext cx="315428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>
              <a:hlinkClick xmlns:r="http://schemas.openxmlformats.org/officeDocument/2006/relationships" r:id="rId2" tooltip="https://www.pngall.com/delete-png/download/49681"/>
            </a:rPr>
            <a:t>This Photo</a:t>
          </a:r>
          <a:r>
            <a:rPr lang="en-US" sz="900"/>
            <a:t> by Unknown Author is licensed under </a:t>
          </a:r>
          <a:r>
            <a:rPr lang="en-US" sz="900">
              <a:hlinkClick xmlns:r="http://schemas.openxmlformats.org/officeDocument/2006/relationships" r:id="rId3" tooltip="https://creativecommons.org/licenses/by-nc/3.0/"/>
            </a:rPr>
            <a:t>CC BY-NC</a:t>
          </a:r>
          <a:endParaRPr lang="en-US" sz="900"/>
        </a:p>
      </xdr:txBody>
    </xdr:sp>
    <xdr:clientData/>
  </xdr:oneCellAnchor>
  <xdr:twoCellAnchor>
    <xdr:from>
      <xdr:col>39</xdr:col>
      <xdr:colOff>14432</xdr:colOff>
      <xdr:row>27</xdr:row>
      <xdr:rowOff>14432</xdr:rowOff>
    </xdr:from>
    <xdr:to>
      <xdr:col>39</xdr:col>
      <xdr:colOff>883112</xdr:colOff>
      <xdr:row>27</xdr:row>
      <xdr:rowOff>230332</xdr:rowOff>
    </xdr:to>
    <xdr:sp macro="[0]!NameRectangle_Click" textlink="">
      <xdr:nvSpPr>
        <xdr:cNvPr id="4" name="NameRectangle">
          <a:extLst>
            <a:ext uri="{FF2B5EF4-FFF2-40B4-BE49-F238E27FC236}">
              <a16:creationId xmlns:a16="http://schemas.microsoft.com/office/drawing/2014/main" id="{DE4D0D39-1635-AE4A-9A42-8AC972F7675E}"/>
            </a:ext>
          </a:extLst>
        </xdr:cNvPr>
        <xdr:cNvSpPr/>
      </xdr:nvSpPr>
      <xdr:spPr>
        <a:xfrm>
          <a:off x="23064932" y="3989532"/>
          <a:ext cx="86868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Name</a:t>
          </a:r>
        </a:p>
      </xdr:txBody>
    </xdr:sp>
    <xdr:clientData/>
  </xdr:twoCellAnchor>
  <xdr:twoCellAnchor>
    <xdr:from>
      <xdr:col>40</xdr:col>
      <xdr:colOff>0</xdr:colOff>
      <xdr:row>27</xdr:row>
      <xdr:rowOff>18040</xdr:rowOff>
    </xdr:from>
    <xdr:to>
      <xdr:col>41</xdr:col>
      <xdr:colOff>5080</xdr:colOff>
      <xdr:row>27</xdr:row>
      <xdr:rowOff>221240</xdr:rowOff>
    </xdr:to>
    <xdr:sp macro="[0]!HoursRectangle_Click" textlink="">
      <xdr:nvSpPr>
        <xdr:cNvPr id="5" name="HoursRectangle">
          <a:extLst>
            <a:ext uri="{FF2B5EF4-FFF2-40B4-BE49-F238E27FC236}">
              <a16:creationId xmlns:a16="http://schemas.microsoft.com/office/drawing/2014/main" id="{AB299806-30E5-EF4C-BFB5-9CD87EB99C04}"/>
            </a:ext>
          </a:extLst>
        </xdr:cNvPr>
        <xdr:cNvSpPr/>
      </xdr:nvSpPr>
      <xdr:spPr>
        <a:xfrm>
          <a:off x="23952200" y="3993140"/>
          <a:ext cx="640080" cy="203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100"/>
            <a:t>Hours</a:t>
          </a:r>
        </a:p>
      </xdr:txBody>
    </xdr:sp>
    <xdr:clientData/>
  </xdr:twoCellAnchor>
  <xdr:twoCellAnchor>
    <xdr:from>
      <xdr:col>41</xdr:col>
      <xdr:colOff>21648</xdr:colOff>
      <xdr:row>27</xdr:row>
      <xdr:rowOff>14432</xdr:rowOff>
    </xdr:from>
    <xdr:to>
      <xdr:col>41</xdr:col>
      <xdr:colOff>1073208</xdr:colOff>
      <xdr:row>27</xdr:row>
      <xdr:rowOff>230332</xdr:rowOff>
    </xdr:to>
    <xdr:sp macro="[0]!WeeklyTipsRectangle_Click" textlink="">
      <xdr:nvSpPr>
        <xdr:cNvPr id="6" name="WeeklyTipsRectangle">
          <a:extLst>
            <a:ext uri="{FF2B5EF4-FFF2-40B4-BE49-F238E27FC236}">
              <a16:creationId xmlns:a16="http://schemas.microsoft.com/office/drawing/2014/main" id="{35DB9BB1-553E-294B-B0B9-0FA8199BB091}"/>
            </a:ext>
          </a:extLst>
        </xdr:cNvPr>
        <xdr:cNvSpPr/>
      </xdr:nvSpPr>
      <xdr:spPr>
        <a:xfrm>
          <a:off x="24608848" y="3989532"/>
          <a:ext cx="10515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Weekly Tips</a:t>
          </a:r>
        </a:p>
      </xdr:txBody>
    </xdr:sp>
    <xdr:clientData/>
  </xdr:twoCellAnchor>
  <xdr:twoCellAnchor>
    <xdr:from>
      <xdr:col>42</xdr:col>
      <xdr:colOff>10824</xdr:colOff>
      <xdr:row>27</xdr:row>
      <xdr:rowOff>14432</xdr:rowOff>
    </xdr:from>
    <xdr:to>
      <xdr:col>43</xdr:col>
      <xdr:colOff>7562</xdr:colOff>
      <xdr:row>27</xdr:row>
      <xdr:rowOff>230332</xdr:rowOff>
    </xdr:to>
    <xdr:sp macro="[0]!HourlyRectangle_Click" textlink="">
      <xdr:nvSpPr>
        <xdr:cNvPr id="7" name="HourlyRectangle">
          <a:extLst>
            <a:ext uri="{FF2B5EF4-FFF2-40B4-BE49-F238E27FC236}">
              <a16:creationId xmlns:a16="http://schemas.microsoft.com/office/drawing/2014/main" id="{14EDE98F-A844-5A43-B3A2-C2BCE40A2455}"/>
            </a:ext>
          </a:extLst>
        </xdr:cNvPr>
        <xdr:cNvSpPr/>
      </xdr:nvSpPr>
      <xdr:spPr>
        <a:xfrm>
          <a:off x="25677524" y="39895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Hourly</a:t>
          </a:r>
        </a:p>
      </xdr:txBody>
    </xdr:sp>
    <xdr:clientData/>
  </xdr:twoCellAnchor>
  <xdr:twoCellAnchor>
    <xdr:from>
      <xdr:col>43</xdr:col>
      <xdr:colOff>25255</xdr:colOff>
      <xdr:row>27</xdr:row>
      <xdr:rowOff>14431</xdr:rowOff>
    </xdr:from>
    <xdr:to>
      <xdr:col>43</xdr:col>
      <xdr:colOff>811639</xdr:colOff>
      <xdr:row>27</xdr:row>
      <xdr:rowOff>230331</xdr:rowOff>
    </xdr:to>
    <xdr:sp macro="[0]!FoodRectangle_Click" textlink="">
      <xdr:nvSpPr>
        <xdr:cNvPr id="8" name="FoodRectangle">
          <a:extLst>
            <a:ext uri="{FF2B5EF4-FFF2-40B4-BE49-F238E27FC236}">
              <a16:creationId xmlns:a16="http://schemas.microsoft.com/office/drawing/2014/main" id="{618BFCE0-432E-1547-A9F6-AE6778C9E8AF}"/>
            </a:ext>
          </a:extLst>
        </xdr:cNvPr>
        <xdr:cNvSpPr/>
      </xdr:nvSpPr>
      <xdr:spPr>
        <a:xfrm>
          <a:off x="26517455" y="3989531"/>
          <a:ext cx="786384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Food</a:t>
          </a:r>
        </a:p>
      </xdr:txBody>
    </xdr:sp>
    <xdr:clientData/>
  </xdr:twoCellAnchor>
  <xdr:twoCellAnchor>
    <xdr:from>
      <xdr:col>44</xdr:col>
      <xdr:colOff>3608</xdr:colOff>
      <xdr:row>27</xdr:row>
      <xdr:rowOff>14432</xdr:rowOff>
    </xdr:from>
    <xdr:to>
      <xdr:col>45</xdr:col>
      <xdr:colOff>346</xdr:colOff>
      <xdr:row>27</xdr:row>
      <xdr:rowOff>230332</xdr:rowOff>
    </xdr:to>
    <xdr:sp macro="[0]!AlcoholRectangle_Click" textlink="">
      <xdr:nvSpPr>
        <xdr:cNvPr id="9" name="AlcoholRectangle">
          <a:extLst>
            <a:ext uri="{FF2B5EF4-FFF2-40B4-BE49-F238E27FC236}">
              <a16:creationId xmlns:a16="http://schemas.microsoft.com/office/drawing/2014/main" id="{0D1B1200-33EC-4449-9DEF-D055EBF0E6C1}"/>
            </a:ext>
          </a:extLst>
        </xdr:cNvPr>
        <xdr:cNvSpPr/>
      </xdr:nvSpPr>
      <xdr:spPr>
        <a:xfrm>
          <a:off x="27321308" y="39895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Alcohol</a:t>
          </a:r>
        </a:p>
      </xdr:txBody>
    </xdr:sp>
    <xdr:clientData/>
  </xdr:twoCellAnchor>
  <xdr:twoCellAnchor>
    <xdr:from>
      <xdr:col>45</xdr:col>
      <xdr:colOff>14432</xdr:colOff>
      <xdr:row>27</xdr:row>
      <xdr:rowOff>14432</xdr:rowOff>
    </xdr:from>
    <xdr:to>
      <xdr:col>45</xdr:col>
      <xdr:colOff>878032</xdr:colOff>
      <xdr:row>27</xdr:row>
      <xdr:rowOff>230332</xdr:rowOff>
    </xdr:to>
    <xdr:sp macro="[0]!TotalRectangle_Click" textlink="">
      <xdr:nvSpPr>
        <xdr:cNvPr id="10" name="TotalRectangle">
          <a:extLst>
            <a:ext uri="{FF2B5EF4-FFF2-40B4-BE49-F238E27FC236}">
              <a16:creationId xmlns:a16="http://schemas.microsoft.com/office/drawing/2014/main" id="{8D338483-CCF6-1A48-8D3F-F8E899DD77F6}"/>
            </a:ext>
          </a:extLst>
        </xdr:cNvPr>
        <xdr:cNvSpPr/>
      </xdr:nvSpPr>
      <xdr:spPr>
        <a:xfrm>
          <a:off x="28157632" y="3989532"/>
          <a:ext cx="86360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Total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391360</xdr:colOff>
      <xdr:row>27</xdr:row>
      <xdr:rowOff>88900</xdr:rowOff>
    </xdr:from>
    <xdr:to>
      <xdr:col>50</xdr:col>
      <xdr:colOff>165100</xdr:colOff>
      <xdr:row>35</xdr:row>
      <xdr:rowOff>129332</xdr:rowOff>
    </xdr:to>
    <xdr:pic macro="[0]!CombineMacros">
      <xdr:nvPicPr>
        <xdr:cNvPr id="2" name="Picture 1" descr="Delete PNG Picture - PNG All">
          <a:extLst>
            <a:ext uri="{FF2B5EF4-FFF2-40B4-BE49-F238E27FC236}">
              <a16:creationId xmlns:a16="http://schemas.microsoft.com/office/drawing/2014/main" id="{C3B965BA-F1F1-DD47-ABD6-3F938577D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/>
        <a:stretch/>
      </xdr:blipFill>
      <xdr:spPr>
        <a:xfrm>
          <a:off x="30249060" y="4064000"/>
          <a:ext cx="2364540" cy="1704132"/>
        </a:xfrm>
        <a:prstGeom prst="rect">
          <a:avLst/>
        </a:prstGeom>
      </xdr:spPr>
    </xdr:pic>
    <xdr:clientData/>
  </xdr:twoCellAnchor>
  <xdr:oneCellAnchor>
    <xdr:from>
      <xdr:col>47</xdr:col>
      <xdr:colOff>226260</xdr:colOff>
      <xdr:row>38</xdr:row>
      <xdr:rowOff>165100</xdr:rowOff>
    </xdr:from>
    <xdr:ext cx="3154280" cy="233205"/>
    <xdr:sp macro="[0]!CombineMacros" textlink="">
      <xdr:nvSpPr>
        <xdr:cNvPr id="3" name="TextBox 2">
          <a:extLst>
            <a:ext uri="{FF2B5EF4-FFF2-40B4-BE49-F238E27FC236}">
              <a16:creationId xmlns:a16="http://schemas.microsoft.com/office/drawing/2014/main" id="{6CDAA837-AD98-764F-8168-6A02CC3D790D}"/>
            </a:ext>
          </a:extLst>
        </xdr:cNvPr>
        <xdr:cNvSpPr txBox="1"/>
      </xdr:nvSpPr>
      <xdr:spPr>
        <a:xfrm>
          <a:off x="30083960" y="6413500"/>
          <a:ext cx="315428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>
              <a:hlinkClick xmlns:r="http://schemas.openxmlformats.org/officeDocument/2006/relationships" r:id="rId2" tooltip="https://www.pngall.com/delete-png/download/49681"/>
            </a:rPr>
            <a:t>This Photo</a:t>
          </a:r>
          <a:r>
            <a:rPr lang="en-US" sz="900"/>
            <a:t> by Unknown Author is licensed under </a:t>
          </a:r>
          <a:r>
            <a:rPr lang="en-US" sz="900">
              <a:hlinkClick xmlns:r="http://schemas.openxmlformats.org/officeDocument/2006/relationships" r:id="rId3" tooltip="https://creativecommons.org/licenses/by-nc/3.0/"/>
            </a:rPr>
            <a:t>CC BY-NC</a:t>
          </a:r>
          <a:endParaRPr lang="en-US" sz="900"/>
        </a:p>
      </xdr:txBody>
    </xdr:sp>
    <xdr:clientData/>
  </xdr:oneCellAnchor>
  <xdr:twoCellAnchor>
    <xdr:from>
      <xdr:col>39</xdr:col>
      <xdr:colOff>14432</xdr:colOff>
      <xdr:row>27</xdr:row>
      <xdr:rowOff>14432</xdr:rowOff>
    </xdr:from>
    <xdr:to>
      <xdr:col>39</xdr:col>
      <xdr:colOff>883112</xdr:colOff>
      <xdr:row>27</xdr:row>
      <xdr:rowOff>230332</xdr:rowOff>
    </xdr:to>
    <xdr:sp macro="[0]!NameRectangle_Click" textlink="">
      <xdr:nvSpPr>
        <xdr:cNvPr id="4" name="NameRectangle">
          <a:extLst>
            <a:ext uri="{FF2B5EF4-FFF2-40B4-BE49-F238E27FC236}">
              <a16:creationId xmlns:a16="http://schemas.microsoft.com/office/drawing/2014/main" id="{869196F2-01BD-C846-A568-9E1EDE5176ED}"/>
            </a:ext>
          </a:extLst>
        </xdr:cNvPr>
        <xdr:cNvSpPr/>
      </xdr:nvSpPr>
      <xdr:spPr>
        <a:xfrm>
          <a:off x="23064932" y="3989532"/>
          <a:ext cx="86868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Name</a:t>
          </a:r>
        </a:p>
      </xdr:txBody>
    </xdr:sp>
    <xdr:clientData/>
  </xdr:twoCellAnchor>
  <xdr:twoCellAnchor>
    <xdr:from>
      <xdr:col>40</xdr:col>
      <xdr:colOff>0</xdr:colOff>
      <xdr:row>27</xdr:row>
      <xdr:rowOff>18040</xdr:rowOff>
    </xdr:from>
    <xdr:to>
      <xdr:col>41</xdr:col>
      <xdr:colOff>5080</xdr:colOff>
      <xdr:row>27</xdr:row>
      <xdr:rowOff>221240</xdr:rowOff>
    </xdr:to>
    <xdr:sp macro="[0]!HoursRectangle_Click" textlink="">
      <xdr:nvSpPr>
        <xdr:cNvPr id="5" name="HoursRectangle">
          <a:extLst>
            <a:ext uri="{FF2B5EF4-FFF2-40B4-BE49-F238E27FC236}">
              <a16:creationId xmlns:a16="http://schemas.microsoft.com/office/drawing/2014/main" id="{BF5E4751-71E0-9142-B865-16B81A0C81A1}"/>
            </a:ext>
          </a:extLst>
        </xdr:cNvPr>
        <xdr:cNvSpPr/>
      </xdr:nvSpPr>
      <xdr:spPr>
        <a:xfrm>
          <a:off x="23952200" y="3993140"/>
          <a:ext cx="640080" cy="203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100"/>
            <a:t>Hours</a:t>
          </a:r>
        </a:p>
      </xdr:txBody>
    </xdr:sp>
    <xdr:clientData/>
  </xdr:twoCellAnchor>
  <xdr:twoCellAnchor>
    <xdr:from>
      <xdr:col>41</xdr:col>
      <xdr:colOff>21648</xdr:colOff>
      <xdr:row>27</xdr:row>
      <xdr:rowOff>14432</xdr:rowOff>
    </xdr:from>
    <xdr:to>
      <xdr:col>41</xdr:col>
      <xdr:colOff>1073208</xdr:colOff>
      <xdr:row>27</xdr:row>
      <xdr:rowOff>230332</xdr:rowOff>
    </xdr:to>
    <xdr:sp macro="[0]!WeeklyTipsRectangle_Click" textlink="">
      <xdr:nvSpPr>
        <xdr:cNvPr id="6" name="WeeklyTipsRectangle">
          <a:extLst>
            <a:ext uri="{FF2B5EF4-FFF2-40B4-BE49-F238E27FC236}">
              <a16:creationId xmlns:a16="http://schemas.microsoft.com/office/drawing/2014/main" id="{D7F34267-DE50-9249-ADFC-0EF8D058C49B}"/>
            </a:ext>
          </a:extLst>
        </xdr:cNvPr>
        <xdr:cNvSpPr/>
      </xdr:nvSpPr>
      <xdr:spPr>
        <a:xfrm>
          <a:off x="24608848" y="3989532"/>
          <a:ext cx="10515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Weekly Tips</a:t>
          </a:r>
        </a:p>
      </xdr:txBody>
    </xdr:sp>
    <xdr:clientData/>
  </xdr:twoCellAnchor>
  <xdr:twoCellAnchor>
    <xdr:from>
      <xdr:col>42</xdr:col>
      <xdr:colOff>10824</xdr:colOff>
      <xdr:row>27</xdr:row>
      <xdr:rowOff>14432</xdr:rowOff>
    </xdr:from>
    <xdr:to>
      <xdr:col>43</xdr:col>
      <xdr:colOff>7562</xdr:colOff>
      <xdr:row>27</xdr:row>
      <xdr:rowOff>230332</xdr:rowOff>
    </xdr:to>
    <xdr:sp macro="[0]!HourlyRectangle_Click" textlink="">
      <xdr:nvSpPr>
        <xdr:cNvPr id="7" name="HourlyRectangle">
          <a:extLst>
            <a:ext uri="{FF2B5EF4-FFF2-40B4-BE49-F238E27FC236}">
              <a16:creationId xmlns:a16="http://schemas.microsoft.com/office/drawing/2014/main" id="{67312AED-018B-E743-B381-6B1DCF09585E}"/>
            </a:ext>
          </a:extLst>
        </xdr:cNvPr>
        <xdr:cNvSpPr/>
      </xdr:nvSpPr>
      <xdr:spPr>
        <a:xfrm>
          <a:off x="25677524" y="39895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Hourly</a:t>
          </a:r>
        </a:p>
      </xdr:txBody>
    </xdr:sp>
    <xdr:clientData/>
  </xdr:twoCellAnchor>
  <xdr:twoCellAnchor>
    <xdr:from>
      <xdr:col>43</xdr:col>
      <xdr:colOff>25255</xdr:colOff>
      <xdr:row>27</xdr:row>
      <xdr:rowOff>14431</xdr:rowOff>
    </xdr:from>
    <xdr:to>
      <xdr:col>43</xdr:col>
      <xdr:colOff>811639</xdr:colOff>
      <xdr:row>27</xdr:row>
      <xdr:rowOff>230331</xdr:rowOff>
    </xdr:to>
    <xdr:sp macro="[0]!FoodRectangle_Click" textlink="">
      <xdr:nvSpPr>
        <xdr:cNvPr id="8" name="FoodRectangle">
          <a:extLst>
            <a:ext uri="{FF2B5EF4-FFF2-40B4-BE49-F238E27FC236}">
              <a16:creationId xmlns:a16="http://schemas.microsoft.com/office/drawing/2014/main" id="{1CF53569-8812-0B46-A26F-9E6A3A43EE82}"/>
            </a:ext>
          </a:extLst>
        </xdr:cNvPr>
        <xdr:cNvSpPr/>
      </xdr:nvSpPr>
      <xdr:spPr>
        <a:xfrm>
          <a:off x="26517455" y="3989531"/>
          <a:ext cx="786384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Food</a:t>
          </a:r>
        </a:p>
      </xdr:txBody>
    </xdr:sp>
    <xdr:clientData/>
  </xdr:twoCellAnchor>
  <xdr:twoCellAnchor>
    <xdr:from>
      <xdr:col>44</xdr:col>
      <xdr:colOff>3608</xdr:colOff>
      <xdr:row>27</xdr:row>
      <xdr:rowOff>14432</xdr:rowOff>
    </xdr:from>
    <xdr:to>
      <xdr:col>45</xdr:col>
      <xdr:colOff>346</xdr:colOff>
      <xdr:row>27</xdr:row>
      <xdr:rowOff>230332</xdr:rowOff>
    </xdr:to>
    <xdr:sp macro="[0]!AlcoholRectangle_Click" textlink="">
      <xdr:nvSpPr>
        <xdr:cNvPr id="9" name="AlcoholRectangle">
          <a:extLst>
            <a:ext uri="{FF2B5EF4-FFF2-40B4-BE49-F238E27FC236}">
              <a16:creationId xmlns:a16="http://schemas.microsoft.com/office/drawing/2014/main" id="{933033D6-5017-7E45-84C0-B980EE0B8C32}"/>
            </a:ext>
          </a:extLst>
        </xdr:cNvPr>
        <xdr:cNvSpPr/>
      </xdr:nvSpPr>
      <xdr:spPr>
        <a:xfrm>
          <a:off x="27321308" y="39895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Alcohol</a:t>
          </a:r>
        </a:p>
      </xdr:txBody>
    </xdr:sp>
    <xdr:clientData/>
  </xdr:twoCellAnchor>
  <xdr:twoCellAnchor>
    <xdr:from>
      <xdr:col>45</xdr:col>
      <xdr:colOff>14432</xdr:colOff>
      <xdr:row>27</xdr:row>
      <xdr:rowOff>14432</xdr:rowOff>
    </xdr:from>
    <xdr:to>
      <xdr:col>45</xdr:col>
      <xdr:colOff>878032</xdr:colOff>
      <xdr:row>27</xdr:row>
      <xdr:rowOff>230332</xdr:rowOff>
    </xdr:to>
    <xdr:sp macro="[0]!TotalRectangle_Click" textlink="">
      <xdr:nvSpPr>
        <xdr:cNvPr id="10" name="TotalRectangle">
          <a:extLst>
            <a:ext uri="{FF2B5EF4-FFF2-40B4-BE49-F238E27FC236}">
              <a16:creationId xmlns:a16="http://schemas.microsoft.com/office/drawing/2014/main" id="{6D777368-48B1-ED48-8217-C2359E299B34}"/>
            </a:ext>
          </a:extLst>
        </xdr:cNvPr>
        <xdr:cNvSpPr/>
      </xdr:nvSpPr>
      <xdr:spPr>
        <a:xfrm>
          <a:off x="28157632" y="3989532"/>
          <a:ext cx="86360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Total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391360</xdr:colOff>
      <xdr:row>27</xdr:row>
      <xdr:rowOff>88900</xdr:rowOff>
    </xdr:from>
    <xdr:to>
      <xdr:col>53</xdr:col>
      <xdr:colOff>0</xdr:colOff>
      <xdr:row>35</xdr:row>
      <xdr:rowOff>129332</xdr:rowOff>
    </xdr:to>
    <xdr:pic macro="[0]!CombineMacros">
      <xdr:nvPicPr>
        <xdr:cNvPr id="2" name="Picture 1" descr="Delete PNG Picture - PNG All">
          <a:extLst>
            <a:ext uri="{FF2B5EF4-FFF2-40B4-BE49-F238E27FC236}">
              <a16:creationId xmlns:a16="http://schemas.microsoft.com/office/drawing/2014/main" id="{41AFBC51-F04D-EB42-8577-1A9EA03D5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/>
        <a:stretch/>
      </xdr:blipFill>
      <xdr:spPr>
        <a:xfrm>
          <a:off x="30249060" y="4064000"/>
          <a:ext cx="2364540" cy="1704132"/>
        </a:xfrm>
        <a:prstGeom prst="rect">
          <a:avLst/>
        </a:prstGeom>
      </xdr:spPr>
    </xdr:pic>
    <xdr:clientData/>
  </xdr:twoCellAnchor>
  <xdr:oneCellAnchor>
    <xdr:from>
      <xdr:col>47</xdr:col>
      <xdr:colOff>226260</xdr:colOff>
      <xdr:row>38</xdr:row>
      <xdr:rowOff>165100</xdr:rowOff>
    </xdr:from>
    <xdr:ext cx="3154280" cy="233205"/>
    <xdr:sp macro="[0]!CombineMacros" textlink="">
      <xdr:nvSpPr>
        <xdr:cNvPr id="3" name="TextBox 2">
          <a:extLst>
            <a:ext uri="{FF2B5EF4-FFF2-40B4-BE49-F238E27FC236}">
              <a16:creationId xmlns:a16="http://schemas.microsoft.com/office/drawing/2014/main" id="{EE799C38-7CA3-EC47-9FEC-4CA0F247C627}"/>
            </a:ext>
          </a:extLst>
        </xdr:cNvPr>
        <xdr:cNvSpPr txBox="1"/>
      </xdr:nvSpPr>
      <xdr:spPr>
        <a:xfrm>
          <a:off x="30083960" y="6413500"/>
          <a:ext cx="315428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>
              <a:hlinkClick xmlns:r="http://schemas.openxmlformats.org/officeDocument/2006/relationships" r:id="rId2" tooltip="https://www.pngall.com/delete-png/download/49681"/>
            </a:rPr>
            <a:t>This Photo</a:t>
          </a:r>
          <a:r>
            <a:rPr lang="en-US" sz="900"/>
            <a:t> by Unknown Author is licensed under </a:t>
          </a:r>
          <a:r>
            <a:rPr lang="en-US" sz="900">
              <a:hlinkClick xmlns:r="http://schemas.openxmlformats.org/officeDocument/2006/relationships" r:id="rId3" tooltip="https://creativecommons.org/licenses/by-nc/3.0/"/>
            </a:rPr>
            <a:t>CC BY-NC</a:t>
          </a:r>
          <a:endParaRPr lang="en-US" sz="900"/>
        </a:p>
      </xdr:txBody>
    </xdr:sp>
    <xdr:clientData/>
  </xdr:oneCellAnchor>
  <xdr:twoCellAnchor>
    <xdr:from>
      <xdr:col>39</xdr:col>
      <xdr:colOff>14432</xdr:colOff>
      <xdr:row>27</xdr:row>
      <xdr:rowOff>14432</xdr:rowOff>
    </xdr:from>
    <xdr:to>
      <xdr:col>39</xdr:col>
      <xdr:colOff>883112</xdr:colOff>
      <xdr:row>27</xdr:row>
      <xdr:rowOff>230332</xdr:rowOff>
    </xdr:to>
    <xdr:sp macro="[0]!NameRectangle_Click" textlink="">
      <xdr:nvSpPr>
        <xdr:cNvPr id="4" name="NameRectangle">
          <a:extLst>
            <a:ext uri="{FF2B5EF4-FFF2-40B4-BE49-F238E27FC236}">
              <a16:creationId xmlns:a16="http://schemas.microsoft.com/office/drawing/2014/main" id="{A349939A-536E-F743-9600-44E0BAF53EDE}"/>
            </a:ext>
          </a:extLst>
        </xdr:cNvPr>
        <xdr:cNvSpPr/>
      </xdr:nvSpPr>
      <xdr:spPr>
        <a:xfrm>
          <a:off x="31201591" y="5339773"/>
          <a:ext cx="86868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Name</a:t>
          </a:r>
        </a:p>
      </xdr:txBody>
    </xdr:sp>
    <xdr:clientData/>
  </xdr:twoCellAnchor>
  <xdr:twoCellAnchor>
    <xdr:from>
      <xdr:col>40</xdr:col>
      <xdr:colOff>0</xdr:colOff>
      <xdr:row>27</xdr:row>
      <xdr:rowOff>18040</xdr:rowOff>
    </xdr:from>
    <xdr:to>
      <xdr:col>41</xdr:col>
      <xdr:colOff>5080</xdr:colOff>
      <xdr:row>27</xdr:row>
      <xdr:rowOff>221240</xdr:rowOff>
    </xdr:to>
    <xdr:sp macro="[0]!HoursRectangle_Click" textlink="">
      <xdr:nvSpPr>
        <xdr:cNvPr id="5" name="HoursRectangle">
          <a:extLst>
            <a:ext uri="{FF2B5EF4-FFF2-40B4-BE49-F238E27FC236}">
              <a16:creationId xmlns:a16="http://schemas.microsoft.com/office/drawing/2014/main" id="{1BFCDF66-A28D-BE48-8486-317FE991D488}"/>
            </a:ext>
          </a:extLst>
        </xdr:cNvPr>
        <xdr:cNvSpPr/>
      </xdr:nvSpPr>
      <xdr:spPr>
        <a:xfrm>
          <a:off x="32089148" y="5343381"/>
          <a:ext cx="640080" cy="203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100"/>
            <a:t>Hours</a:t>
          </a:r>
        </a:p>
      </xdr:txBody>
    </xdr:sp>
    <xdr:clientData/>
  </xdr:twoCellAnchor>
  <xdr:twoCellAnchor>
    <xdr:from>
      <xdr:col>41</xdr:col>
      <xdr:colOff>21648</xdr:colOff>
      <xdr:row>27</xdr:row>
      <xdr:rowOff>14432</xdr:rowOff>
    </xdr:from>
    <xdr:to>
      <xdr:col>41</xdr:col>
      <xdr:colOff>1073208</xdr:colOff>
      <xdr:row>27</xdr:row>
      <xdr:rowOff>230332</xdr:rowOff>
    </xdr:to>
    <xdr:sp macro="[0]!WeeklyTipsRectangle_Click" textlink="">
      <xdr:nvSpPr>
        <xdr:cNvPr id="7" name="WeeklyTipsRectangle">
          <a:extLst>
            <a:ext uri="{FF2B5EF4-FFF2-40B4-BE49-F238E27FC236}">
              <a16:creationId xmlns:a16="http://schemas.microsoft.com/office/drawing/2014/main" id="{6DEBFE32-3946-6F4C-8D9B-F3767C7582B4}"/>
            </a:ext>
          </a:extLst>
        </xdr:cNvPr>
        <xdr:cNvSpPr/>
      </xdr:nvSpPr>
      <xdr:spPr>
        <a:xfrm>
          <a:off x="32745796" y="5339773"/>
          <a:ext cx="10515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Weekly Tips</a:t>
          </a:r>
        </a:p>
      </xdr:txBody>
    </xdr:sp>
    <xdr:clientData/>
  </xdr:twoCellAnchor>
  <xdr:twoCellAnchor>
    <xdr:from>
      <xdr:col>42</xdr:col>
      <xdr:colOff>10824</xdr:colOff>
      <xdr:row>27</xdr:row>
      <xdr:rowOff>14432</xdr:rowOff>
    </xdr:from>
    <xdr:to>
      <xdr:col>43</xdr:col>
      <xdr:colOff>7562</xdr:colOff>
      <xdr:row>27</xdr:row>
      <xdr:rowOff>230332</xdr:rowOff>
    </xdr:to>
    <xdr:sp macro="[0]!HourlyRectangle_Click" textlink="">
      <xdr:nvSpPr>
        <xdr:cNvPr id="8" name="HourlyRectangle">
          <a:extLst>
            <a:ext uri="{FF2B5EF4-FFF2-40B4-BE49-F238E27FC236}">
              <a16:creationId xmlns:a16="http://schemas.microsoft.com/office/drawing/2014/main" id="{9015E01D-0E97-0144-8D91-402FD5905E85}"/>
            </a:ext>
          </a:extLst>
        </xdr:cNvPr>
        <xdr:cNvSpPr/>
      </xdr:nvSpPr>
      <xdr:spPr>
        <a:xfrm>
          <a:off x="33813750" y="5339773"/>
          <a:ext cx="8229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Hourly</a:t>
          </a:r>
        </a:p>
      </xdr:txBody>
    </xdr:sp>
    <xdr:clientData/>
  </xdr:twoCellAnchor>
  <xdr:twoCellAnchor>
    <xdr:from>
      <xdr:col>43</xdr:col>
      <xdr:colOff>25255</xdr:colOff>
      <xdr:row>27</xdr:row>
      <xdr:rowOff>14431</xdr:rowOff>
    </xdr:from>
    <xdr:to>
      <xdr:col>43</xdr:col>
      <xdr:colOff>811639</xdr:colOff>
      <xdr:row>27</xdr:row>
      <xdr:rowOff>230331</xdr:rowOff>
    </xdr:to>
    <xdr:sp macro="[0]!FoodRectangle_Click" textlink="">
      <xdr:nvSpPr>
        <xdr:cNvPr id="10" name="FoodRectangle">
          <a:extLst>
            <a:ext uri="{FF2B5EF4-FFF2-40B4-BE49-F238E27FC236}">
              <a16:creationId xmlns:a16="http://schemas.microsoft.com/office/drawing/2014/main" id="{3ADCD4FF-154B-3C41-A232-5F8347024F78}"/>
            </a:ext>
          </a:extLst>
        </xdr:cNvPr>
        <xdr:cNvSpPr/>
      </xdr:nvSpPr>
      <xdr:spPr>
        <a:xfrm>
          <a:off x="34654403" y="5339772"/>
          <a:ext cx="786384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Food</a:t>
          </a:r>
        </a:p>
      </xdr:txBody>
    </xdr:sp>
    <xdr:clientData/>
  </xdr:twoCellAnchor>
  <xdr:twoCellAnchor>
    <xdr:from>
      <xdr:col>44</xdr:col>
      <xdr:colOff>3608</xdr:colOff>
      <xdr:row>27</xdr:row>
      <xdr:rowOff>14432</xdr:rowOff>
    </xdr:from>
    <xdr:to>
      <xdr:col>45</xdr:col>
      <xdr:colOff>346</xdr:colOff>
      <xdr:row>27</xdr:row>
      <xdr:rowOff>230332</xdr:rowOff>
    </xdr:to>
    <xdr:sp macro="[0]!AlcoholRectangle_Click" textlink="">
      <xdr:nvSpPr>
        <xdr:cNvPr id="14" name="AlcoholRectangle">
          <a:extLst>
            <a:ext uri="{FF2B5EF4-FFF2-40B4-BE49-F238E27FC236}">
              <a16:creationId xmlns:a16="http://schemas.microsoft.com/office/drawing/2014/main" id="{1DA7F299-DA30-A24E-BD0B-46E914DE45DF}"/>
            </a:ext>
          </a:extLst>
        </xdr:cNvPr>
        <xdr:cNvSpPr/>
      </xdr:nvSpPr>
      <xdr:spPr>
        <a:xfrm>
          <a:off x="35458977" y="5339773"/>
          <a:ext cx="8229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Alcohol</a:t>
          </a:r>
        </a:p>
      </xdr:txBody>
    </xdr:sp>
    <xdr:clientData/>
  </xdr:twoCellAnchor>
  <xdr:twoCellAnchor>
    <xdr:from>
      <xdr:col>45</xdr:col>
      <xdr:colOff>14432</xdr:colOff>
      <xdr:row>27</xdr:row>
      <xdr:rowOff>14432</xdr:rowOff>
    </xdr:from>
    <xdr:to>
      <xdr:col>45</xdr:col>
      <xdr:colOff>878032</xdr:colOff>
      <xdr:row>27</xdr:row>
      <xdr:rowOff>230332</xdr:rowOff>
    </xdr:to>
    <xdr:sp macro="[0]!TotalRectangle_Click" textlink="">
      <xdr:nvSpPr>
        <xdr:cNvPr id="15" name="TotalRectangle">
          <a:extLst>
            <a:ext uri="{FF2B5EF4-FFF2-40B4-BE49-F238E27FC236}">
              <a16:creationId xmlns:a16="http://schemas.microsoft.com/office/drawing/2014/main" id="{FD13E36D-924C-984C-8D76-1942A7BA6DAB}"/>
            </a:ext>
          </a:extLst>
        </xdr:cNvPr>
        <xdr:cNvSpPr/>
      </xdr:nvSpPr>
      <xdr:spPr>
        <a:xfrm>
          <a:off x="36296023" y="5339773"/>
          <a:ext cx="86360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Total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47</xdr:col>
      <xdr:colOff>391360</xdr:colOff>
      <xdr:row>27</xdr:row>
      <xdr:rowOff>88900</xdr:rowOff>
    </xdr:from>
    <xdr:to>
      <xdr:col>50</xdr:col>
      <xdr:colOff>165100</xdr:colOff>
      <xdr:row>35</xdr:row>
      <xdr:rowOff>129332</xdr:rowOff>
    </xdr:to>
    <xdr:pic macro="[0]!CombineMacros">
      <xdr:nvPicPr>
        <xdr:cNvPr id="2" name="Picture 1" descr="Delete PNG Picture - PNG All">
          <a:extLst>
            <a:ext uri="{FF2B5EF4-FFF2-40B4-BE49-F238E27FC236}">
              <a16:creationId xmlns:a16="http://schemas.microsoft.com/office/drawing/2014/main" id="{716ABBAC-A5F3-5B46-BFE8-8492F14C0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"/>
            </a:ext>
          </a:extLst>
        </a:blip>
        <a:srcRect/>
        <a:stretch/>
      </xdr:blipFill>
      <xdr:spPr>
        <a:xfrm>
          <a:off x="38377060" y="5397500"/>
          <a:ext cx="2364540" cy="1704132"/>
        </a:xfrm>
        <a:prstGeom prst="rect">
          <a:avLst/>
        </a:prstGeom>
      </xdr:spPr>
    </xdr:pic>
    <xdr:clientData/>
  </xdr:twoCellAnchor>
  <xdr:oneCellAnchor>
    <xdr:from>
      <xdr:col>47</xdr:col>
      <xdr:colOff>226260</xdr:colOff>
      <xdr:row>38</xdr:row>
      <xdr:rowOff>165100</xdr:rowOff>
    </xdr:from>
    <xdr:ext cx="3154280" cy="233205"/>
    <xdr:sp macro="[0]!CombineMacros" textlink="">
      <xdr:nvSpPr>
        <xdr:cNvPr id="3" name="TextBox 2">
          <a:extLst>
            <a:ext uri="{FF2B5EF4-FFF2-40B4-BE49-F238E27FC236}">
              <a16:creationId xmlns:a16="http://schemas.microsoft.com/office/drawing/2014/main" id="{715CA7B4-3D49-6E42-BCC9-04B56B248358}"/>
            </a:ext>
          </a:extLst>
        </xdr:cNvPr>
        <xdr:cNvSpPr txBox="1"/>
      </xdr:nvSpPr>
      <xdr:spPr>
        <a:xfrm>
          <a:off x="38211960" y="7747000"/>
          <a:ext cx="3154280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900">
              <a:hlinkClick xmlns:r="http://schemas.openxmlformats.org/officeDocument/2006/relationships" r:id="rId2" tooltip="https://www.pngall.com/delete-png/download/49681"/>
            </a:rPr>
            <a:t>This Photo</a:t>
          </a:r>
          <a:r>
            <a:rPr lang="en-US" sz="900"/>
            <a:t> by Unknown Author is licensed under </a:t>
          </a:r>
          <a:r>
            <a:rPr lang="en-US" sz="900">
              <a:hlinkClick xmlns:r="http://schemas.openxmlformats.org/officeDocument/2006/relationships" r:id="rId3" tooltip="https://creativecommons.org/licenses/by-nc/3.0/"/>
            </a:rPr>
            <a:t>CC BY-NC</a:t>
          </a:r>
          <a:endParaRPr lang="en-US" sz="900"/>
        </a:p>
      </xdr:txBody>
    </xdr:sp>
    <xdr:clientData/>
  </xdr:oneCellAnchor>
  <xdr:twoCellAnchor>
    <xdr:from>
      <xdr:col>39</xdr:col>
      <xdr:colOff>14432</xdr:colOff>
      <xdr:row>27</xdr:row>
      <xdr:rowOff>14432</xdr:rowOff>
    </xdr:from>
    <xdr:to>
      <xdr:col>39</xdr:col>
      <xdr:colOff>883112</xdr:colOff>
      <xdr:row>27</xdr:row>
      <xdr:rowOff>230332</xdr:rowOff>
    </xdr:to>
    <xdr:sp macro="[0]!NameRectangle_Click" textlink="">
      <xdr:nvSpPr>
        <xdr:cNvPr id="4" name="NameRectangle">
          <a:extLst>
            <a:ext uri="{FF2B5EF4-FFF2-40B4-BE49-F238E27FC236}">
              <a16:creationId xmlns:a16="http://schemas.microsoft.com/office/drawing/2014/main" id="{6130E9A9-6431-0D47-9D30-133B020687DD}"/>
            </a:ext>
          </a:extLst>
        </xdr:cNvPr>
        <xdr:cNvSpPr/>
      </xdr:nvSpPr>
      <xdr:spPr>
        <a:xfrm>
          <a:off x="31192932" y="5323032"/>
          <a:ext cx="86868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Name</a:t>
          </a:r>
        </a:p>
      </xdr:txBody>
    </xdr:sp>
    <xdr:clientData/>
  </xdr:twoCellAnchor>
  <xdr:twoCellAnchor>
    <xdr:from>
      <xdr:col>40</xdr:col>
      <xdr:colOff>0</xdr:colOff>
      <xdr:row>27</xdr:row>
      <xdr:rowOff>18040</xdr:rowOff>
    </xdr:from>
    <xdr:to>
      <xdr:col>41</xdr:col>
      <xdr:colOff>5080</xdr:colOff>
      <xdr:row>27</xdr:row>
      <xdr:rowOff>221240</xdr:rowOff>
    </xdr:to>
    <xdr:sp macro="[0]!HoursRectangle_Click" textlink="">
      <xdr:nvSpPr>
        <xdr:cNvPr id="5" name="HoursRectangle">
          <a:extLst>
            <a:ext uri="{FF2B5EF4-FFF2-40B4-BE49-F238E27FC236}">
              <a16:creationId xmlns:a16="http://schemas.microsoft.com/office/drawing/2014/main" id="{AE52788D-8B68-824C-8521-AD67D61ECE82}"/>
            </a:ext>
          </a:extLst>
        </xdr:cNvPr>
        <xdr:cNvSpPr/>
      </xdr:nvSpPr>
      <xdr:spPr>
        <a:xfrm>
          <a:off x="32080200" y="5326640"/>
          <a:ext cx="640080" cy="2032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100"/>
            <a:t>Hours</a:t>
          </a:r>
        </a:p>
      </xdr:txBody>
    </xdr:sp>
    <xdr:clientData/>
  </xdr:twoCellAnchor>
  <xdr:twoCellAnchor>
    <xdr:from>
      <xdr:col>41</xdr:col>
      <xdr:colOff>21648</xdr:colOff>
      <xdr:row>27</xdr:row>
      <xdr:rowOff>14432</xdr:rowOff>
    </xdr:from>
    <xdr:to>
      <xdr:col>41</xdr:col>
      <xdr:colOff>1073208</xdr:colOff>
      <xdr:row>27</xdr:row>
      <xdr:rowOff>230332</xdr:rowOff>
    </xdr:to>
    <xdr:sp macro="[0]!WeeklyTipsRectangle_Click" textlink="">
      <xdr:nvSpPr>
        <xdr:cNvPr id="6" name="WeeklyTipsRectangle">
          <a:extLst>
            <a:ext uri="{FF2B5EF4-FFF2-40B4-BE49-F238E27FC236}">
              <a16:creationId xmlns:a16="http://schemas.microsoft.com/office/drawing/2014/main" id="{235097FD-6F11-8041-B1F6-C0AAF26DA5D2}"/>
            </a:ext>
          </a:extLst>
        </xdr:cNvPr>
        <xdr:cNvSpPr/>
      </xdr:nvSpPr>
      <xdr:spPr>
        <a:xfrm>
          <a:off x="32736848" y="5323032"/>
          <a:ext cx="105156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Weekly Tips</a:t>
          </a:r>
        </a:p>
      </xdr:txBody>
    </xdr:sp>
    <xdr:clientData/>
  </xdr:twoCellAnchor>
  <xdr:twoCellAnchor>
    <xdr:from>
      <xdr:col>42</xdr:col>
      <xdr:colOff>10824</xdr:colOff>
      <xdr:row>27</xdr:row>
      <xdr:rowOff>14432</xdr:rowOff>
    </xdr:from>
    <xdr:to>
      <xdr:col>43</xdr:col>
      <xdr:colOff>7562</xdr:colOff>
      <xdr:row>27</xdr:row>
      <xdr:rowOff>230332</xdr:rowOff>
    </xdr:to>
    <xdr:sp macro="[0]!HourlyRectangle_Click" textlink="">
      <xdr:nvSpPr>
        <xdr:cNvPr id="7" name="HourlyRectangle">
          <a:extLst>
            <a:ext uri="{FF2B5EF4-FFF2-40B4-BE49-F238E27FC236}">
              <a16:creationId xmlns:a16="http://schemas.microsoft.com/office/drawing/2014/main" id="{455386F7-A8F8-D043-B310-AF5126BB9D6B}"/>
            </a:ext>
          </a:extLst>
        </xdr:cNvPr>
        <xdr:cNvSpPr/>
      </xdr:nvSpPr>
      <xdr:spPr>
        <a:xfrm>
          <a:off x="33805524" y="53230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Hourly</a:t>
          </a:r>
        </a:p>
      </xdr:txBody>
    </xdr:sp>
    <xdr:clientData/>
  </xdr:twoCellAnchor>
  <xdr:twoCellAnchor>
    <xdr:from>
      <xdr:col>43</xdr:col>
      <xdr:colOff>25255</xdr:colOff>
      <xdr:row>27</xdr:row>
      <xdr:rowOff>14431</xdr:rowOff>
    </xdr:from>
    <xdr:to>
      <xdr:col>43</xdr:col>
      <xdr:colOff>811639</xdr:colOff>
      <xdr:row>27</xdr:row>
      <xdr:rowOff>230331</xdr:rowOff>
    </xdr:to>
    <xdr:sp macro="[0]!FoodRectangle_Click" textlink="">
      <xdr:nvSpPr>
        <xdr:cNvPr id="8" name="FoodRectangle">
          <a:extLst>
            <a:ext uri="{FF2B5EF4-FFF2-40B4-BE49-F238E27FC236}">
              <a16:creationId xmlns:a16="http://schemas.microsoft.com/office/drawing/2014/main" id="{DE06BF6A-84F8-B64D-B006-AA69775488F8}"/>
            </a:ext>
          </a:extLst>
        </xdr:cNvPr>
        <xdr:cNvSpPr/>
      </xdr:nvSpPr>
      <xdr:spPr>
        <a:xfrm>
          <a:off x="34645455" y="5323031"/>
          <a:ext cx="786384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Food</a:t>
          </a:r>
        </a:p>
      </xdr:txBody>
    </xdr:sp>
    <xdr:clientData/>
  </xdr:twoCellAnchor>
  <xdr:twoCellAnchor>
    <xdr:from>
      <xdr:col>44</xdr:col>
      <xdr:colOff>3608</xdr:colOff>
      <xdr:row>27</xdr:row>
      <xdr:rowOff>14432</xdr:rowOff>
    </xdr:from>
    <xdr:to>
      <xdr:col>45</xdr:col>
      <xdr:colOff>346</xdr:colOff>
      <xdr:row>27</xdr:row>
      <xdr:rowOff>230332</xdr:rowOff>
    </xdr:to>
    <xdr:sp macro="[0]!AlcoholRectangle_Click" textlink="">
      <xdr:nvSpPr>
        <xdr:cNvPr id="9" name="AlcoholRectangle">
          <a:extLst>
            <a:ext uri="{FF2B5EF4-FFF2-40B4-BE49-F238E27FC236}">
              <a16:creationId xmlns:a16="http://schemas.microsoft.com/office/drawing/2014/main" id="{1F44DC15-2360-C643-8300-9280B1C04665}"/>
            </a:ext>
          </a:extLst>
        </xdr:cNvPr>
        <xdr:cNvSpPr/>
      </xdr:nvSpPr>
      <xdr:spPr>
        <a:xfrm>
          <a:off x="35449308" y="5323032"/>
          <a:ext cx="822238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Alcohol</a:t>
          </a:r>
        </a:p>
      </xdr:txBody>
    </xdr:sp>
    <xdr:clientData/>
  </xdr:twoCellAnchor>
  <xdr:twoCellAnchor>
    <xdr:from>
      <xdr:col>45</xdr:col>
      <xdr:colOff>14432</xdr:colOff>
      <xdr:row>27</xdr:row>
      <xdr:rowOff>14432</xdr:rowOff>
    </xdr:from>
    <xdr:to>
      <xdr:col>45</xdr:col>
      <xdr:colOff>878032</xdr:colOff>
      <xdr:row>27</xdr:row>
      <xdr:rowOff>230332</xdr:rowOff>
    </xdr:to>
    <xdr:sp macro="[0]!TotalRectangle_Click" textlink="">
      <xdr:nvSpPr>
        <xdr:cNvPr id="10" name="TotalRectangle">
          <a:extLst>
            <a:ext uri="{FF2B5EF4-FFF2-40B4-BE49-F238E27FC236}">
              <a16:creationId xmlns:a16="http://schemas.microsoft.com/office/drawing/2014/main" id="{0FE85B99-D7F1-DF45-8BE2-7628420A6D6D}"/>
            </a:ext>
          </a:extLst>
        </xdr:cNvPr>
        <xdr:cNvSpPr/>
      </xdr:nvSpPr>
      <xdr:spPr>
        <a:xfrm>
          <a:off x="36285632" y="5323032"/>
          <a:ext cx="863600" cy="2159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Total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9EAF1134-2332-9D4E-B318-C53DBD4811CA}" name="Table424789101112131418212325272326" displayName="Table424789101112131418212325272326" ref="AN28:AU60" totalsRowCount="1" headerRowDxfId="75" dataDxfId="74" totalsRowDxfId="73" headerRowCellStyle="Currency" dataCellStyle="Currency" totalsRowCellStyle="Currency">
  <autoFilter ref="AN28:AU59" xr:uid="{79426E71-6CB4-8F44-B4C8-17C01D14350A}"/>
  <sortState xmlns:xlrd2="http://schemas.microsoft.com/office/spreadsheetml/2017/richdata2" ref="AN29:AU59">
    <sortCondition ref="AN28:AN59"/>
  </sortState>
  <tableColumns count="8">
    <tableColumn id="1" xr3:uid="{94782B58-86F1-9D40-A06E-EA6A50ED6494}" name="Name" totalsRowLabel="Total" dataDxfId="72" totalsRowDxfId="71" dataCellStyle="Currency"/>
    <tableColumn id="2" xr3:uid="{A90A66F4-A5D4-D94A-A06C-75CD46B1F3E9}" name="Hours" totalsRowFunction="sum" dataDxfId="70" totalsRowDxfId="69" dataCellStyle="Currency">
      <calculatedColumnFormula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calculatedColumnFormula>
    </tableColumn>
    <tableColumn id="3" xr3:uid="{B3FA705C-6B9E-2942-8BE3-358FFAD9329E}" name="Weekly Tips" totalsRowLabel="Enter BOH Hours" dataDxfId="68" totalsRowDxfId="67" dataCellStyle="Currency" totalsRowCellStyle="Currency">
      <calculatedColumnFormula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calculatedColumnFormula>
    </tableColumn>
    <tableColumn id="7" xr3:uid="{78A736B2-E842-D746-8258-A98F4BB335DE}" name="Hourly" totalsRowFunction="average" dataDxfId="66" totalsRowDxfId="65" dataCellStyle="Currency" totalsRowCellStyle="Currency">
      <calculatedColumnFormula>IFERROR(Table424789101112131418212325272326[[#This Row],[Weekly Tips]]/Table424789101112131418212325272326[[#This Row],[Hours]],0)</calculatedColumnFormula>
    </tableColumn>
    <tableColumn id="6" xr3:uid="{AE6FF069-4646-614F-965A-673EC8AB23BA}" name="Food" totalsRowFunction="sum" dataDxfId="64" totalsRowDxfId="63" dataCellStyle="Currency" totalsRowCellStyle="Currency">
      <calculatedColumnFormula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calculatedColumnFormula>
    </tableColumn>
    <tableColumn id="4" xr3:uid="{2E1BA4CC-9CA1-624B-9200-21291449F39E}" name="Alcohol" totalsRowFunction="sum" dataDxfId="62" totalsRowDxfId="61" dataCellStyle="Currency" totalsRowCellStyle="Currency">
      <calculatedColumnFormula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calculatedColumnFormula>
    </tableColumn>
    <tableColumn id="5" xr3:uid="{D5AC56B8-A424-874B-9D5A-8A1B292BE7E5}" name="Total" totalsRowFunction="sum" dataDxfId="60" totalsRowDxfId="59" dataCellStyle="Currency" totalsRowCellStyle="Currency">
      <calculatedColumnFormula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calculatedColumnFormula>
    </tableColumn>
    <tableColumn id="8" xr3:uid="{A6FEBC3F-F47C-424C-9545-3996EA162047}" name="Job Codes" dataDxfId="58" totalsRowDxfId="57" dataCellStyle="Currency"/>
  </tableColumns>
  <tableStyleInfo name="TableStyleMedium2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7B8F74FD-3106-8B4D-B87F-7D93706C6211}" name="Table424789101112131418212325272325" displayName="Table424789101112131418212325272325" ref="AN28:AU60" totalsRowCount="1" headerRowDxfId="56" dataDxfId="55" totalsRowDxfId="54" headerRowCellStyle="Currency" dataCellStyle="Currency" totalsRowCellStyle="Currency">
  <autoFilter ref="AN28:AU59" xr:uid="{79426E71-6CB4-8F44-B4C8-17C01D14350A}"/>
  <sortState xmlns:xlrd2="http://schemas.microsoft.com/office/spreadsheetml/2017/richdata2" ref="AN29:AU59">
    <sortCondition ref="AN28:AN59"/>
  </sortState>
  <tableColumns count="8">
    <tableColumn id="1" xr3:uid="{E974A38A-8619-6244-A0C7-742F03B78505}" name="Name" totalsRowLabel="Total" dataDxfId="53" totalsRowDxfId="52" dataCellStyle="Currency"/>
    <tableColumn id="2" xr3:uid="{5F515BDF-64D0-A448-967F-DE6A586DDD3E}" name="Hours" totalsRowFunction="sum" dataDxfId="51" totalsRowDxfId="50" dataCellStyle="Currency">
      <calculatedColumnFormula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calculatedColumnFormula>
    </tableColumn>
    <tableColumn id="3" xr3:uid="{9EEA3133-58C0-5342-B56D-2981716C8395}" name="Weekly Tips" totalsRowLabel="Enter BOH Hours" dataDxfId="49" totalsRowDxfId="48" dataCellStyle="Currency" totalsRowCellStyle="Currency">
      <calculatedColumnFormula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calculatedColumnFormula>
    </tableColumn>
    <tableColumn id="7" xr3:uid="{E4E9ACAD-FF57-E745-BF0F-BEE63551EB2F}" name="Hourly" totalsRowFunction="average" dataDxfId="47" totalsRowDxfId="46" dataCellStyle="Currency" totalsRowCellStyle="Currency">
      <calculatedColumnFormula>IFERROR(Table424789101112131418212325272325[[#This Row],[Weekly Tips]]/Table424789101112131418212325272325[[#This Row],[Hours]],0)</calculatedColumnFormula>
    </tableColumn>
    <tableColumn id="6" xr3:uid="{DE340D7F-C74A-C04F-B4E3-45A0A6D45ADD}" name="Food" totalsRowFunction="sum" dataDxfId="45" totalsRowDxfId="44" dataCellStyle="Currency" totalsRowCellStyle="Currency">
      <calculatedColumnFormula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calculatedColumnFormula>
    </tableColumn>
    <tableColumn id="4" xr3:uid="{BD05702C-C705-C749-A1AC-DCB011B2CD9F}" name="Alcohol" totalsRowFunction="sum" dataDxfId="43" totalsRowDxfId="42" dataCellStyle="Currency" totalsRowCellStyle="Currency">
      <calculatedColumnFormula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calculatedColumnFormula>
    </tableColumn>
    <tableColumn id="5" xr3:uid="{4017B341-677E-D141-A73E-D040F426B811}" name="Total" totalsRowFunction="sum" dataDxfId="41" totalsRowDxfId="40" dataCellStyle="Currency" totalsRowCellStyle="Currency">
      <calculatedColumnFormula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calculatedColumnFormula>
    </tableColumn>
    <tableColumn id="8" xr3:uid="{90BB22A4-7EBD-754C-85DC-34F308016C3D}" name="Job Codes" dataDxfId="39" totalsRowDxfId="38" dataCellStyle="Currency"/>
  </tableColumns>
  <tableStyleInfo name="TableStyleMedium2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88AF98-9E32-EB4E-854F-B9384CE4499A}" name="Table4247891011121314182123252723" displayName="Table4247891011121314182123252723" ref="AN28:AU60" totalsRowCount="1" headerRowDxfId="37" dataDxfId="36" totalsRowDxfId="35" headerRowCellStyle="Currency" dataCellStyle="Currency" totalsRowCellStyle="Currency">
  <autoFilter ref="AN28:AU59" xr:uid="{79426E71-6CB4-8F44-B4C8-17C01D14350A}"/>
  <sortState xmlns:xlrd2="http://schemas.microsoft.com/office/spreadsheetml/2017/richdata2" ref="AN29:AU59">
    <sortCondition ref="AN28:AN59"/>
  </sortState>
  <tableColumns count="8">
    <tableColumn id="1" xr3:uid="{CF6A91E6-70F7-CF41-80F1-6743EA08009C}" name="Name" totalsRowLabel="Total" dataDxfId="34" totalsRowDxfId="33" dataCellStyle="Currency"/>
    <tableColumn id="2" xr3:uid="{B6CCCB8E-FB65-CF41-83DB-BA21AE492DB0}" name="Hours" totalsRowFunction="sum" dataDxfId="32" totalsRowDxfId="31" dataCellStyle="Currency">
      <calculatedColumnFormula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calculatedColumnFormula>
    </tableColumn>
    <tableColumn id="3" xr3:uid="{49ABEF0D-FC4D-A04D-A390-A2324B71E3A5}" name="Weekly Tips" totalsRowLabel="Enter BOH Hours" dataDxfId="30" totalsRowDxfId="29" dataCellStyle="Currency" totalsRowCellStyle="Currency">
      <calculatedColumnFormula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calculatedColumnFormula>
    </tableColumn>
    <tableColumn id="7" xr3:uid="{4A966AE9-F75B-0940-9264-A53FDD4CF455}" name="Hourly" totalsRowFunction="average" dataDxfId="28" totalsRowDxfId="27" dataCellStyle="Currency" totalsRowCellStyle="Currency">
      <calculatedColumnFormula>IFERROR(Table4247891011121314182123252723[[#This Row],[Weekly Tips]]/Table4247891011121314182123252723[[#This Row],[Hours]],0)</calculatedColumnFormula>
    </tableColumn>
    <tableColumn id="6" xr3:uid="{2A665C1C-81B7-4E47-8910-C92F7E26B45B}" name="Food" totalsRowFunction="sum" dataDxfId="26" totalsRowDxfId="25" dataCellStyle="Currency" totalsRowCellStyle="Currency">
      <calculatedColumnFormula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calculatedColumnFormula>
    </tableColumn>
    <tableColumn id="4" xr3:uid="{9813A1EE-8655-FB48-BE8E-AEAB04681113}" name="Alcohol" totalsRowFunction="sum" dataDxfId="24" totalsRowDxfId="23" dataCellStyle="Currency" totalsRowCellStyle="Currency">
      <calculatedColumnFormula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calculatedColumnFormula>
    </tableColumn>
    <tableColumn id="5" xr3:uid="{64CCAD43-A0FD-FB43-9797-C949BEA831AA}" name="Total" totalsRowFunction="sum" dataDxfId="22" totalsRowDxfId="21" dataCellStyle="Currency" totalsRowCellStyle="Currency">
      <calculatedColumnFormula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calculatedColumnFormula>
    </tableColumn>
    <tableColumn id="8" xr3:uid="{B61EC1DE-40D3-524B-BEB2-0F1EC7B34C95}" name="Job Codes" dataDxfId="20" totalsRowDxfId="19" dataCellStyle="Currency"/>
  </tableColumns>
  <tableStyleInfo name="TableStyleMedium2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FD6DE0EE-0927-0F4C-818E-88E0AADF1C27}" name="Table42478910111213141821232527232527" displayName="Table42478910111213141821232527232527" ref="AN28:AU60" totalsRowCount="1" headerRowDxfId="18" dataDxfId="17" totalsRowDxfId="16" headerRowCellStyle="Currency" dataCellStyle="Currency" totalsRowCellStyle="Currency">
  <autoFilter ref="AN28:AU59" xr:uid="{79426E71-6CB4-8F44-B4C8-17C01D14350A}"/>
  <sortState xmlns:xlrd2="http://schemas.microsoft.com/office/spreadsheetml/2017/richdata2" ref="AN29:AU59">
    <sortCondition ref="AN28:AN59"/>
  </sortState>
  <tableColumns count="8">
    <tableColumn id="1" xr3:uid="{312BC341-8DAB-914B-8B8C-520FCFBCF35D}" name="Name" totalsRowLabel="Total" dataDxfId="15" totalsRowDxfId="14" dataCellStyle="Currency"/>
    <tableColumn id="2" xr3:uid="{58C29183-CF7B-1E4A-A5DE-0E2485FC4A36}" name="Hours" totalsRowFunction="sum" dataDxfId="13" totalsRowDxfId="12" dataCellStyle="Currency">
      <calculatedColumnFormula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calculatedColumnFormula>
    </tableColumn>
    <tableColumn id="3" xr3:uid="{DF82030A-2669-AD43-815F-EAFC927CEADE}" name="Weekly Tips" totalsRowLabel="Enter BOH Hours" dataDxfId="11" totalsRowDxfId="10" dataCellStyle="Currency" totalsRowCellStyle="Currency">
      <calculatedColumnFormula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calculatedColumnFormula>
    </tableColumn>
    <tableColumn id="7" xr3:uid="{C8FEAE06-AD70-3C40-B49B-3014DA2ACFE8}" name="Hourly" totalsRowFunction="average" dataDxfId="9" totalsRowDxfId="8" dataCellStyle="Currency" totalsRowCellStyle="Currency">
      <calculatedColumnFormula>IFERROR(Table42478910111213141821232527232527[[#This Row],[Weekly Tips]]/Table42478910111213141821232527232527[[#This Row],[Hours]],0)</calculatedColumnFormula>
    </tableColumn>
    <tableColumn id="6" xr3:uid="{8CCC91FE-20C9-1A4A-9FA1-F2D6730D6378}" name="Food" totalsRowFunction="sum" dataDxfId="7" totalsRowDxfId="6" dataCellStyle="Currency" totalsRowCellStyle="Currency">
      <calculatedColumnFormula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calculatedColumnFormula>
    </tableColumn>
    <tableColumn id="4" xr3:uid="{803AC302-C7D1-1547-8142-B88D7AF35313}" name="Alcohol" totalsRowFunction="sum" dataDxfId="5" totalsRowDxfId="4" dataCellStyle="Currency" totalsRowCellStyle="Currency">
      <calculatedColumnFormula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calculatedColumnFormula>
    </tableColumn>
    <tableColumn id="5" xr3:uid="{AC92B47D-9050-7B41-B627-0B4B47A74FA3}" name="Total" totalsRowFunction="sum" dataDxfId="3" totalsRowDxfId="2" dataCellStyle="Currency" totalsRowCellStyle="Currency">
      <calculatedColumnFormula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calculatedColumnFormula>
    </tableColumn>
    <tableColumn id="8" xr3:uid="{FE18130C-2202-6945-9093-B559398744E8}" name="Job Codes" dataDxfId="1" totalsRowDxfId="0" dataCellStyle="Currency"/>
  </tableColumns>
  <tableStyleInfo name="TableStyleMedium2" showFirstColumn="1" showLastColumn="1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BAC0-E3A9-964F-AC52-1D0BF1062175}">
  <sheetPr codeName="Sheet25"/>
  <dimension ref="A1:BH71"/>
  <sheetViews>
    <sheetView tabSelected="1" zoomScaleNormal="100" workbookViewId="0">
      <selection activeCell="F8" sqref="F8:F16"/>
    </sheetView>
  </sheetViews>
  <sheetFormatPr baseColWidth="10" defaultColWidth="8.83203125" defaultRowHeight="15" x14ac:dyDescent="0.2"/>
  <cols>
    <col min="1" max="1" width="11.83203125" style="7" customWidth="1"/>
    <col min="2" max="2" width="5.83203125" style="13" customWidth="1"/>
    <col min="3" max="6" width="10.83203125" style="7" customWidth="1"/>
    <col min="7" max="7" width="7.33203125" style="7" customWidth="1"/>
    <col min="8" max="10" width="10.83203125" style="7" customWidth="1"/>
    <col min="11" max="11" width="14.33203125" style="7" hidden="1" customWidth="1"/>
    <col min="12" max="12" width="12.83203125" style="7" hidden="1" customWidth="1"/>
    <col min="13" max="13" width="14.1640625" style="7" hidden="1" customWidth="1"/>
    <col min="14" max="14" width="11.83203125" style="7" customWidth="1"/>
    <col min="15" max="15" width="5.83203125" style="13" customWidth="1"/>
    <col min="16" max="19" width="10.83203125" style="7" customWidth="1"/>
    <col min="20" max="20" width="7.33203125" style="7" customWidth="1"/>
    <col min="21" max="23" width="10.83203125" style="7" customWidth="1"/>
    <col min="24" max="24" width="12.33203125" style="7" hidden="1" customWidth="1"/>
    <col min="25" max="25" width="10.33203125" style="7" hidden="1" customWidth="1"/>
    <col min="26" max="26" width="10" style="7" hidden="1" customWidth="1"/>
    <col min="27" max="27" width="11.83203125" style="7" customWidth="1"/>
    <col min="28" max="28" width="5.83203125" style="13" customWidth="1"/>
    <col min="29" max="32" width="10.83203125" style="7" customWidth="1"/>
    <col min="33" max="33" width="7.33203125" style="7" customWidth="1"/>
    <col min="34" max="36" width="10.83203125" style="7" customWidth="1"/>
    <col min="37" max="37" width="12.33203125" style="7" hidden="1" customWidth="1"/>
    <col min="38" max="38" width="10.33203125" style="7" hidden="1" customWidth="1"/>
    <col min="39" max="39" width="10" style="7" hidden="1" customWidth="1"/>
    <col min="40" max="40" width="11.83203125" style="7" customWidth="1"/>
    <col min="41" max="41" width="8.33203125" style="13" customWidth="1"/>
    <col min="42" max="42" width="14.1640625" style="7" customWidth="1"/>
    <col min="43" max="45" width="10.83203125" style="7" customWidth="1"/>
    <col min="46" max="46" width="11.6640625" style="7" customWidth="1"/>
    <col min="47" max="49" width="10.83203125" style="7" customWidth="1"/>
    <col min="50" max="50" width="12.33203125" style="7" hidden="1" customWidth="1"/>
    <col min="51" max="51" width="10.33203125" style="7" hidden="1" customWidth="1"/>
    <col min="52" max="52" width="8.1640625" style="7" hidden="1" customWidth="1"/>
    <col min="53" max="53" width="15" style="7" customWidth="1"/>
    <col min="54" max="54" width="13.6640625" style="7" customWidth="1"/>
    <col min="55" max="57" width="8.33203125" style="7" customWidth="1"/>
    <col min="58" max="58" width="9" style="7" customWidth="1"/>
    <col min="59" max="59" width="11.33203125" style="7" customWidth="1"/>
    <col min="60" max="16384" width="8.83203125" style="7"/>
  </cols>
  <sheetData>
    <row r="1" spans="1:60" ht="21" x14ac:dyDescent="0.25">
      <c r="A1" s="67">
        <v>45348</v>
      </c>
      <c r="B1" s="75" t="str">
        <f>TEXT(A1,"DDDD")</f>
        <v>Monday</v>
      </c>
      <c r="C1" s="76"/>
      <c r="D1" s="76"/>
      <c r="E1" s="76"/>
      <c r="F1" s="76"/>
      <c r="G1" s="76"/>
      <c r="H1" s="76"/>
      <c r="I1" s="76"/>
      <c r="J1" s="77"/>
      <c r="K1" s="25">
        <v>0.03</v>
      </c>
      <c r="L1" s="25">
        <v>0.02</v>
      </c>
      <c r="M1" s="25">
        <v>0.01</v>
      </c>
      <c r="N1" s="68">
        <f>A1+2</f>
        <v>45350</v>
      </c>
      <c r="O1" s="78" t="str">
        <f>TEXT(N1,"DDDD")</f>
        <v>Wednesday</v>
      </c>
      <c r="P1" s="79"/>
      <c r="Q1" s="79"/>
      <c r="R1" s="79"/>
      <c r="S1" s="79"/>
      <c r="T1" s="79"/>
      <c r="U1" s="79"/>
      <c r="V1" s="79"/>
      <c r="W1" s="80"/>
      <c r="X1" s="6">
        <v>0.03</v>
      </c>
      <c r="Y1" s="6">
        <v>0.02</v>
      </c>
      <c r="Z1" s="6">
        <v>0.01</v>
      </c>
      <c r="AA1" s="69">
        <f>A1+4</f>
        <v>45352</v>
      </c>
      <c r="AB1" s="81" t="str">
        <f>TEXT(AA1,"DDDD")</f>
        <v>Friday</v>
      </c>
      <c r="AC1" s="82"/>
      <c r="AD1" s="82"/>
      <c r="AE1" s="82"/>
      <c r="AF1" s="82"/>
      <c r="AG1" s="82"/>
      <c r="AH1" s="82"/>
      <c r="AI1" s="82"/>
      <c r="AJ1" s="83"/>
      <c r="AK1" s="25">
        <v>0.03</v>
      </c>
      <c r="AL1" s="25">
        <v>0.02</v>
      </c>
      <c r="AM1" s="25">
        <v>0.01</v>
      </c>
      <c r="AN1" s="68">
        <f>A1+6</f>
        <v>45354</v>
      </c>
      <c r="AO1" s="78" t="str">
        <f>TEXT(AN1,"DDDD")</f>
        <v>Sunday</v>
      </c>
      <c r="AP1" s="79"/>
      <c r="AQ1" s="79"/>
      <c r="AR1" s="79"/>
      <c r="AS1" s="79"/>
      <c r="AT1" s="79"/>
      <c r="AU1" s="79"/>
      <c r="AV1" s="79"/>
      <c r="AW1" s="80"/>
      <c r="AX1" s="6">
        <v>0.03</v>
      </c>
      <c r="AY1" s="6">
        <v>0.02</v>
      </c>
      <c r="AZ1" s="6">
        <v>0.01</v>
      </c>
      <c r="BH1" s="8"/>
    </row>
    <row r="2" spans="1:60" ht="16" x14ac:dyDescent="0.2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8" t="s">
        <v>6</v>
      </c>
      <c r="H2" s="26" t="s">
        <v>7</v>
      </c>
      <c r="I2" s="26" t="s">
        <v>8</v>
      </c>
      <c r="J2" s="26" t="s">
        <v>9</v>
      </c>
      <c r="K2" s="29" t="s">
        <v>10</v>
      </c>
      <c r="L2" s="29" t="s">
        <v>11</v>
      </c>
      <c r="M2" s="29" t="s">
        <v>12</v>
      </c>
      <c r="N2" s="30" t="s">
        <v>0</v>
      </c>
      <c r="O2" s="31" t="s">
        <v>1</v>
      </c>
      <c r="P2" s="30" t="s">
        <v>2</v>
      </c>
      <c r="Q2" s="30" t="s">
        <v>3</v>
      </c>
      <c r="R2" s="30" t="s">
        <v>4</v>
      </c>
      <c r="S2" s="30" t="s">
        <v>5</v>
      </c>
      <c r="T2" s="32" t="s">
        <v>6</v>
      </c>
      <c r="U2" s="30" t="s">
        <v>7</v>
      </c>
      <c r="V2" s="30" t="s">
        <v>8</v>
      </c>
      <c r="W2" s="30" t="s">
        <v>9</v>
      </c>
      <c r="X2" s="7" t="s">
        <v>10</v>
      </c>
      <c r="Y2" s="7" t="s">
        <v>11</v>
      </c>
      <c r="Z2" s="7" t="s">
        <v>12</v>
      </c>
      <c r="AA2" s="33" t="s">
        <v>0</v>
      </c>
      <c r="AB2" s="34" t="s">
        <v>1</v>
      </c>
      <c r="AC2" s="33" t="s">
        <v>2</v>
      </c>
      <c r="AD2" s="33" t="s">
        <v>3</v>
      </c>
      <c r="AE2" s="33" t="s">
        <v>4</v>
      </c>
      <c r="AF2" s="33" t="s">
        <v>5</v>
      </c>
      <c r="AG2" s="35" t="s">
        <v>6</v>
      </c>
      <c r="AH2" s="33" t="s">
        <v>7</v>
      </c>
      <c r="AI2" s="33" t="s">
        <v>8</v>
      </c>
      <c r="AJ2" s="33" t="s">
        <v>9</v>
      </c>
      <c r="AK2" s="29" t="s">
        <v>10</v>
      </c>
      <c r="AL2" s="29" t="s">
        <v>11</v>
      </c>
      <c r="AM2" s="29" t="s">
        <v>12</v>
      </c>
      <c r="AN2" s="30" t="s">
        <v>0</v>
      </c>
      <c r="AO2" s="31" t="s">
        <v>1</v>
      </c>
      <c r="AP2" s="30" t="s">
        <v>2</v>
      </c>
      <c r="AQ2" s="30" t="s">
        <v>3</v>
      </c>
      <c r="AR2" s="30" t="s">
        <v>4</v>
      </c>
      <c r="AS2" s="30" t="s">
        <v>5</v>
      </c>
      <c r="AT2" s="30" t="s">
        <v>6</v>
      </c>
      <c r="AU2" s="30" t="s">
        <v>7</v>
      </c>
      <c r="AV2" s="30" t="s">
        <v>8</v>
      </c>
      <c r="AW2" s="30" t="s">
        <v>9</v>
      </c>
      <c r="AX2" s="7" t="s">
        <v>10</v>
      </c>
      <c r="AY2" s="7" t="s">
        <v>11</v>
      </c>
      <c r="AZ2" s="7" t="s">
        <v>12</v>
      </c>
    </row>
    <row r="3" spans="1:60" x14ac:dyDescent="0.2">
      <c r="A3" s="9" t="s">
        <v>13</v>
      </c>
      <c r="B3" s="10">
        <v>1</v>
      </c>
      <c r="C3" s="9">
        <v>250.63</v>
      </c>
      <c r="D3" s="9">
        <v>455</v>
      </c>
      <c r="E3" s="9">
        <v>226.2</v>
      </c>
      <c r="F3" s="1">
        <f>D3+E3</f>
        <v>681.2</v>
      </c>
      <c r="G3" s="9" t="s">
        <v>14</v>
      </c>
      <c r="H3" s="9" t="s">
        <v>15</v>
      </c>
      <c r="I3" s="1">
        <f t="shared" ref="I3" ca="1" si="0">IF(H3="Bartender",(HLOOKUP(G3,MonFoodTable,6)*B3)+(HLOOKUP(G3,MonHostTable,6)*B3)+K3,SUM(K3,L3,M3))</f>
        <v>0</v>
      </c>
      <c r="J3" s="1">
        <f t="shared" ref="J3" ca="1" si="1">IFERROR(IF(H3="Bartender",(HLOOKUP(G3,MonBarTable,6)*B3)+I3,C3+I3),"")</f>
        <v>250.63</v>
      </c>
      <c r="K3" s="7">
        <f t="shared" ref="K3" si="2">IF(H3="Server",-E3*AlcoholTipPercentage,0)+IF(H3="Bartender",HLOOKUP(G3,MonBarTable,5)*B3)</f>
        <v>0</v>
      </c>
      <c r="L3" s="7" cm="1">
        <f t="array" ref="L3">IFERROR(_xlfn.IFS(HLOOKUP(G3,MonFoodTable,2)=0,0,OR(H3="Server",H3="Bartender"),-D3*FoodTipPercentage,OR(H3="Expo",H3="Food Runner"),HLOOKUP(G3,MonFoodTable,5)*B3,H3="Host",0),"")</f>
        <v>0</v>
      </c>
      <c r="M3" s="7" cm="1">
        <f t="array" aca="1" ref="M3" ca="1">IFERROR(_xlfn.IFS(HLOOKUP(G3,MonHostTable,2)=0,0,OR(H3="Server",H3="Bartender"),-F3*HostTipPercentage,H3="Host",HLOOKUP(G3,MonHostTable,5)*B3,OR(H3="Expo",H3="Food Runner"),0),"")</f>
        <v>0</v>
      </c>
      <c r="N3" s="4" t="s">
        <v>16</v>
      </c>
      <c r="O3" s="5">
        <v>1</v>
      </c>
      <c r="P3" s="4">
        <v>39.69</v>
      </c>
      <c r="Q3" s="4">
        <v>51</v>
      </c>
      <c r="R3" s="4">
        <v>53.45</v>
      </c>
      <c r="S3" s="3">
        <f>Q3+R3</f>
        <v>104.45</v>
      </c>
      <c r="T3" s="4" t="s">
        <v>14</v>
      </c>
      <c r="U3" s="4" t="s">
        <v>15</v>
      </c>
      <c r="V3" s="3">
        <f t="shared" ref="V3" ca="1" si="3">IF(U3="Bartender",(HLOOKUP(T3,WedFoodTable,6)*O3)+(HLOOKUP(T3,WedHostTable,6)*O3)+X3,SUM(X3,Y3,Z3))</f>
        <v>0.06</v>
      </c>
      <c r="W3" s="3">
        <f t="shared" ref="W3" ca="1" si="4">IFERROR(IF(U3="Bartender",(HLOOKUP(T3,WedBarTable,6)*O3)+V3,P3+V3),"")</f>
        <v>39.75</v>
      </c>
      <c r="X3" s="7">
        <f t="shared" ref="X3" si="5">IF(U3="Server",-R3*AlcoholTipPercentage,0)+IF(U3="Bartender",HLOOKUP(T3,WedBarTable,5)*O3)</f>
        <v>0.06</v>
      </c>
      <c r="Y3" s="7" cm="1">
        <f t="array" ref="Y3">IFERROR(_xlfn.IFS(HLOOKUP(T3,WedFoodTable,2)=0,0,OR(U3="Server",U3="Bartender"),-Q3*FoodTipPercentage,OR(U3="Expo",U3="Food Runner"),HLOOKUP(T3,WedFoodTable,5)*O3,U3="Host",0),"")</f>
        <v>0</v>
      </c>
      <c r="Z3" s="7" cm="1">
        <f t="array" aca="1" ref="Z3" ca="1">IFERROR(_xlfn.IFS(HLOOKUP(T3,WedHostTable,2)=0,0,OR(U3="Server",U3="Bartender"),-S3*HostTipPercentage,U3="Host",HLOOKUP(T3,WedHostTable,5)*O3,OR(U3="Expo",U3="Food Runner"),0),"")</f>
        <v>0</v>
      </c>
      <c r="AA3" s="11" t="s">
        <v>17</v>
      </c>
      <c r="AB3" s="12">
        <v>1</v>
      </c>
      <c r="AC3" s="11">
        <v>325.13</v>
      </c>
      <c r="AD3" s="11">
        <v>517</v>
      </c>
      <c r="AE3" s="11">
        <v>379.62</v>
      </c>
      <c r="AF3" s="37">
        <f>AD3+AE3</f>
        <v>896.62</v>
      </c>
      <c r="AG3" s="11" t="s">
        <v>14</v>
      </c>
      <c r="AH3" s="11" t="s">
        <v>18</v>
      </c>
      <c r="AI3" s="37">
        <f t="shared" ref="AI3" ca="1" si="6">IF(AH3="Bartender",(HLOOKUP(AG3,FriFoodTable,6)*AB3)+(HLOOKUP(AG3,FriHostTable,6)*AB3)+AK3,SUM(AK3,AL3,AM3))</f>
        <v>-11.3886</v>
      </c>
      <c r="AJ3" s="37">
        <f t="shared" ref="AJ3" ca="1" si="7">IFERROR(IF(AH3="Bartender",(HLOOKUP(AG3,FriBarTable,6)*AB3)+AI3,AC3+AI3),"")</f>
        <v>313.7414</v>
      </c>
      <c r="AK3" s="7">
        <f t="shared" ref="AK3" si="8">IF(AH3="Server",-AE3*AlcoholTipPercentage,0)+IF(AH3="Bartender",HLOOKUP(AG3,FriBarTable,5)*AB3)</f>
        <v>-11.3886</v>
      </c>
      <c r="AL3" s="7" cm="1">
        <f t="array" ref="AL3">IFERROR(_xlfn.IFS(HLOOKUP(AG3,FriFoodTable,2)=0,0,OR(AH3="Server",AH3="Bartender"),-AD3*FoodTipPercentage,OR(AH3="Expo",AH3="Food Runner"),HLOOKUP(AG3,FriFoodTable,5)*AB3,AH3="Host",0),"")</f>
        <v>0</v>
      </c>
      <c r="AM3" s="7" cm="1">
        <f t="array" aca="1" ref="AM3" ca="1">IFERROR(_xlfn.IFS(HLOOKUP(AG3,FriHostTable,2)=0,0,OR(AH3="Server",AH3="Bartender"),-AF3*HostTipPercentage,AH3="Host",HLOOKUP(AG3,FriHostTable,5)*AB3,OR(AH3="Expo",AH3="Food Runner"),0),"")</f>
        <v>0</v>
      </c>
      <c r="AN3" s="4" t="s">
        <v>19</v>
      </c>
      <c r="AO3" s="5">
        <v>1</v>
      </c>
      <c r="AP3" s="4">
        <v>253.49</v>
      </c>
      <c r="AQ3" s="4">
        <v>440.5</v>
      </c>
      <c r="AR3" s="4">
        <v>305.5</v>
      </c>
      <c r="AS3" s="36">
        <f>AQ3+AR3</f>
        <v>746</v>
      </c>
      <c r="AT3" s="4" t="s">
        <v>14</v>
      </c>
      <c r="AU3" s="4" t="s">
        <v>15</v>
      </c>
      <c r="AV3" s="36">
        <f t="shared" ref="AV3" ca="1" si="9">IF(AU3="Bartender",(HLOOKUP(AT3,SunFoodTable,6)*AO3)+(HLOOKUP(AT3,SunHostTable,6)*AO3)+AX3,SUM(AX3,AY3,AZ3))</f>
        <v>-5.8390000000000004</v>
      </c>
      <c r="AW3" s="36">
        <f t="shared" ref="AW3" ca="1" si="10">IFERROR(IF(AU3="Bartender",(HLOOKUP(AT3,SunBarTable,6)*AO3)+AV3,AP3+AV3),"")</f>
        <v>247.65100000000001</v>
      </c>
      <c r="AX3" s="7">
        <f t="shared" ref="AX3" si="11">IF(AU3="Server",-AR3*AlcoholTipPercentage,0)+IF(AU3="Bartender",HLOOKUP(AT3,SunBarTable,5)*AO3)</f>
        <v>10.430999999999999</v>
      </c>
      <c r="AY3" s="7" cm="1">
        <f t="array" aca="1" ref="AY3" ca="1">IFERROR(_xlfn.IFS(HLOOKUP(AT3,SunFoodTable,2)=0,0,OR(AU3="Server",AU3="Bartender"),-AQ3*FoodTipPercentage,OR(AU3="Expo",AU3="Food Runner"),HLOOKUP(AT3,SunFoodTable,5)*AO3,AU3="Host",0),"")</f>
        <v>-8.81</v>
      </c>
      <c r="AZ3" s="7" cm="1">
        <f t="array" aca="1" ref="AZ3" ca="1">IFERROR(_xlfn.IFS(HLOOKUP(AT3,SunHostTable,2)=0,0,OR(AU3="Server",AU3="Bartender"),-AS3*HostTipPercentage,AU3="Host",HLOOKUP(AT3,SunHostTable,5)*AO3,OR(AU3="Expo",AU3="Food Runner"),0),"")</f>
        <v>-7.46</v>
      </c>
    </row>
    <row r="4" spans="1:60" x14ac:dyDescent="0.2">
      <c r="A4" s="9" t="s">
        <v>16</v>
      </c>
      <c r="B4" s="10">
        <v>1</v>
      </c>
      <c r="C4" s="9">
        <v>167.43</v>
      </c>
      <c r="D4" s="9">
        <v>301.5</v>
      </c>
      <c r="E4" s="9">
        <v>30.8</v>
      </c>
      <c r="F4" s="1">
        <f t="shared" ref="F4:F19" si="12">E4+D4</f>
        <v>332.3</v>
      </c>
      <c r="G4" s="9" t="s">
        <v>20</v>
      </c>
      <c r="H4" s="9" t="s">
        <v>15</v>
      </c>
      <c r="I4" s="1">
        <f t="shared" ref="I4" ca="1" si="13">IF(H4="Bartender",(HLOOKUP(G4,MonFoodTable,6)*B4)+(HLOOKUP(G4,MonHostTable,6)*B4)+K4,SUM(K4,L4,M4))</f>
        <v>5.8529999999999998</v>
      </c>
      <c r="J4" s="1">
        <f t="shared" ref="J4" ca="1" si="14">IFERROR(IF(H4="Bartender",(HLOOKUP(G4,MonBarTable,6)*B4)+I4,C4+I4),"")</f>
        <v>173.28300000000002</v>
      </c>
      <c r="K4" s="7">
        <f t="shared" ref="K4" si="15">IF(H4="Server",-E4*AlcoholTipPercentage,0)+IF(H4="Bartender",HLOOKUP(G4,MonBarTable,5)*B4)</f>
        <v>5.8529999999999998</v>
      </c>
      <c r="L4" s="7" cm="1">
        <f t="array" ref="L4">IFERROR(_xlfn.IFS(HLOOKUP(G4,MonFoodTable,2)=0,0,OR(H4="Server",H4="Bartender"),-D4*FoodTipPercentage,OR(H4="Expo",H4="Food Runner"),HLOOKUP(G4,MonFoodTable,5)*B4,H4="Host",0),"")</f>
        <v>0</v>
      </c>
      <c r="M4" s="7" cm="1">
        <f t="array" aca="1" ref="M4" ca="1">IFERROR(_xlfn.IFS(HLOOKUP(G4,MonHostTable,2)=0,0,OR(H4="Server",H4="Bartender"),-F4*HostTipPercentage,H4="Host",HLOOKUP(G4,MonHostTable,5)*B4,OR(H4="Expo",H4="Food Runner"),0),"")</f>
        <v>0</v>
      </c>
      <c r="N4" s="4" t="s">
        <v>21</v>
      </c>
      <c r="O4" s="5">
        <v>1</v>
      </c>
      <c r="P4" s="4">
        <v>10.199999999999999</v>
      </c>
      <c r="Q4" s="4">
        <v>50.5</v>
      </c>
      <c r="R4" s="4">
        <v>2</v>
      </c>
      <c r="S4" s="3">
        <f t="shared" ref="S4:S19" si="16">R4+Q4</f>
        <v>52.5</v>
      </c>
      <c r="T4" s="4" t="s">
        <v>14</v>
      </c>
      <c r="U4" s="4" t="s">
        <v>18</v>
      </c>
      <c r="V4" s="3">
        <f t="shared" ref="V4" ca="1" si="17">IF(U4="Bartender",(HLOOKUP(T4,WedFoodTable,6)*O4)+(HLOOKUP(T4,WedHostTable,6)*O4)+X4,SUM(X4,Y4,Z4))</f>
        <v>-0.06</v>
      </c>
      <c r="W4" s="3">
        <f t="shared" ref="W4" ca="1" si="18">IFERROR(IF(U4="Bartender",(HLOOKUP(T4,WedBarTable,6)*O4)+V4,P4+V4),"")</f>
        <v>10.139999999999999</v>
      </c>
      <c r="X4" s="7">
        <f t="shared" ref="X4" si="19">IF(U4="Server",-R4*AlcoholTipPercentage,0)+IF(U4="Bartender",HLOOKUP(T4,WedBarTable,5)*O4)</f>
        <v>-0.06</v>
      </c>
      <c r="Y4" s="7" cm="1">
        <f t="array" ref="Y4">IFERROR(_xlfn.IFS(HLOOKUP(T4,WedFoodTable,2)=0,0,OR(U4="Server",U4="Bartender"),-Q4*FoodTipPercentage,OR(U4="Expo",U4="Food Runner"),HLOOKUP(T4,WedFoodTable,5)*O4,U4="Host",0),"")</f>
        <v>0</v>
      </c>
      <c r="Z4" s="7" cm="1">
        <f t="array" aca="1" ref="Z4" ca="1">IFERROR(_xlfn.IFS(HLOOKUP(T4,WedHostTable,2)=0,0,OR(U4="Server",U4="Bartender"),-S4*HostTipPercentage,U4="Host",HLOOKUP(T4,WedHostTable,5)*O4,OR(U4="Expo",U4="Food Runner"),0),"")</f>
        <v>0</v>
      </c>
      <c r="AA4" s="11" t="s">
        <v>16</v>
      </c>
      <c r="AB4" s="12">
        <v>1</v>
      </c>
      <c r="AC4" s="11">
        <v>276.25</v>
      </c>
      <c r="AD4" s="11">
        <v>574</v>
      </c>
      <c r="AE4" s="11">
        <v>319.68</v>
      </c>
      <c r="AF4" s="37">
        <f t="shared" ref="AF4:AF19" si="20">AE4+AD4</f>
        <v>893.68000000000006</v>
      </c>
      <c r="AG4" s="11" t="s">
        <v>14</v>
      </c>
      <c r="AH4" s="11" t="s">
        <v>18</v>
      </c>
      <c r="AI4" s="37">
        <f t="shared" ref="AI4" ca="1" si="21">IF(AH4="Bartender",(HLOOKUP(AG4,FriFoodTable,6)*AB4)+(HLOOKUP(AG4,FriHostTable,6)*AB4)+AK4,SUM(AK4,AL4,AM4))</f>
        <v>-9.5904000000000007</v>
      </c>
      <c r="AJ4" s="37">
        <f t="shared" ref="AJ4" ca="1" si="22">IFERROR(IF(AH4="Bartender",(HLOOKUP(AG4,FriBarTable,6)*AB4)+AI4,AC4+AI4),"")</f>
        <v>266.65960000000001</v>
      </c>
      <c r="AK4" s="7">
        <f t="shared" ref="AK4" si="23">IF(AH4="Server",-AE4*AlcoholTipPercentage,0)+IF(AH4="Bartender",HLOOKUP(AG4,FriBarTable,5)*AB4)</f>
        <v>-9.5904000000000007</v>
      </c>
      <c r="AL4" s="7" cm="1">
        <f t="array" ref="AL4">IFERROR(_xlfn.IFS(HLOOKUP(AG4,FriFoodTable,2)=0,0,OR(AH4="Server",AH4="Bartender"),-AD4*FoodTipPercentage,OR(AH4="Expo",AH4="Food Runner"),HLOOKUP(AG4,FriFoodTable,5)*AB4,AH4="Host",0),"")</f>
        <v>0</v>
      </c>
      <c r="AM4" s="7" cm="1">
        <f t="array" aca="1" ref="AM4" ca="1">IFERROR(_xlfn.IFS(HLOOKUP(AG4,FriHostTable,2)=0,0,OR(AH4="Server",AH4="Bartender"),-AF4*HostTipPercentage,AH4="Host",HLOOKUP(AG4,FriHostTable,5)*AB4,OR(AH4="Expo",AH4="Food Runner"),0),"")</f>
        <v>0</v>
      </c>
      <c r="AN4" s="4" t="s">
        <v>22</v>
      </c>
      <c r="AO4" s="5">
        <v>1</v>
      </c>
      <c r="AP4" s="4">
        <v>184.18</v>
      </c>
      <c r="AQ4" s="4">
        <v>324</v>
      </c>
      <c r="AR4" s="4">
        <v>116</v>
      </c>
      <c r="AS4" s="36">
        <f t="shared" ref="AS4:AS19" si="24">AR4+AQ4</f>
        <v>440</v>
      </c>
      <c r="AT4" s="4" t="s">
        <v>14</v>
      </c>
      <c r="AU4" s="4" t="s">
        <v>18</v>
      </c>
      <c r="AV4" s="36">
        <f t="shared" ref="AV4" ca="1" si="25">IF(AU4="Bartender",(HLOOKUP(AT4,SunFoodTable,6)*AO4)+(HLOOKUP(AT4,SunHostTable,6)*AO4)+AX4,SUM(AX4,AY4,AZ4))</f>
        <v>-14.360000000000001</v>
      </c>
      <c r="AW4" s="36">
        <f t="shared" ref="AW4" ca="1" si="26">IFERROR(IF(AU4="Bartender",(HLOOKUP(AT4,SunBarTable,6)*AO4)+AV4,AP4+AV4),"")</f>
        <v>169.82</v>
      </c>
      <c r="AX4" s="7">
        <f t="shared" ref="AX4" si="27">IF(AU4="Server",-AR4*AlcoholTipPercentage,0)+IF(AU4="Bartender",HLOOKUP(AT4,SunBarTable,5)*AO4)</f>
        <v>-3.48</v>
      </c>
      <c r="AY4" s="7" cm="1">
        <f t="array" aca="1" ref="AY4" ca="1">IFERROR(_xlfn.IFS(HLOOKUP(AT4,SunFoodTable,2)=0,0,OR(AU4="Server",AU4="Bartender"),-AQ4*FoodTipPercentage,OR(AU4="Expo",AU4="Food Runner"),HLOOKUP(AT4,SunFoodTable,5)*AO4,AU4="Host",0),"")</f>
        <v>-6.48</v>
      </c>
      <c r="AZ4" s="7" cm="1">
        <f t="array" aca="1" ref="AZ4" ca="1">IFERROR(_xlfn.IFS(HLOOKUP(AT4,SunHostTable,2)=0,0,OR(AU4="Server",AU4="Bartender"),-AS4*HostTipPercentage,AU4="Host",HLOOKUP(AT4,SunHostTable,5)*AO4,OR(AU4="Expo",AU4="Food Runner"),0),"")</f>
        <v>-4.4000000000000004</v>
      </c>
    </row>
    <row r="5" spans="1:60" x14ac:dyDescent="0.2">
      <c r="A5" s="9" t="s">
        <v>23</v>
      </c>
      <c r="B5" s="10">
        <v>1</v>
      </c>
      <c r="C5" s="9">
        <v>144.81</v>
      </c>
      <c r="D5" s="9">
        <v>228.5</v>
      </c>
      <c r="E5" s="9">
        <v>195.1</v>
      </c>
      <c r="F5" s="1">
        <f t="shared" si="12"/>
        <v>423.6</v>
      </c>
      <c r="G5" s="9" t="s">
        <v>20</v>
      </c>
      <c r="H5" s="9" t="s">
        <v>18</v>
      </c>
      <c r="I5" s="1">
        <f t="shared" ref="I5" ca="1" si="28">IF(H5="Bartender",(HLOOKUP(G5,MonFoodTable,6)*B5)+(HLOOKUP(G5,MonHostTable,6)*B5)+K5,SUM(K5,L5,M5))</f>
        <v>-5.8529999999999998</v>
      </c>
      <c r="J5" s="1">
        <f t="shared" ref="J5" ca="1" si="29">IFERROR(IF(H5="Bartender",(HLOOKUP(G5,MonBarTable,6)*B5)+I5,C5+I5),"")</f>
        <v>138.95699999999999</v>
      </c>
      <c r="K5" s="7">
        <f t="shared" ref="K5" si="30">IF(H5="Server",-E5*AlcoholTipPercentage,0)+IF(H5="Bartender",HLOOKUP(G5,MonBarTable,5)*B5)</f>
        <v>-5.8529999999999998</v>
      </c>
      <c r="L5" s="7" cm="1">
        <f t="array" ref="L5">IFERROR(_xlfn.IFS(HLOOKUP(G5,MonFoodTable,2)=0,0,OR(H5="Server",H5="Bartender"),-D5*FoodTipPercentage,OR(H5="Expo",H5="Food Runner"),HLOOKUP(G5,MonFoodTable,5)*B5,H5="Host",0),"")</f>
        <v>0</v>
      </c>
      <c r="M5" s="7" cm="1">
        <f t="array" aca="1" ref="M5" ca="1">IFERROR(_xlfn.IFS(HLOOKUP(G5,MonHostTable,2)=0,0,OR(H5="Server",H5="Bartender"),-F5*HostTipPercentage,H5="Host",HLOOKUP(G5,MonHostTable,5)*B5,OR(H5="Expo",H5="Food Runner"),0),"")</f>
        <v>0</v>
      </c>
      <c r="N5" s="4" t="s">
        <v>24</v>
      </c>
      <c r="O5" s="5">
        <v>1</v>
      </c>
      <c r="P5" s="4">
        <v>111.25</v>
      </c>
      <c r="Q5" s="4">
        <v>121</v>
      </c>
      <c r="R5" s="4">
        <v>152</v>
      </c>
      <c r="S5" s="3">
        <f t="shared" si="16"/>
        <v>273</v>
      </c>
      <c r="T5" s="4" t="s">
        <v>20</v>
      </c>
      <c r="U5" s="4" t="s">
        <v>18</v>
      </c>
      <c r="V5" s="3">
        <f t="shared" ref="V5" ca="1" si="31">IF(U5="Bartender",(HLOOKUP(T5,WedFoodTable,6)*O5)+(HLOOKUP(T5,WedHostTable,6)*O5)+X5,SUM(X5,Y5,Z5))</f>
        <v>-4.5599999999999996</v>
      </c>
      <c r="W5" s="3">
        <f t="shared" ref="W5" ca="1" si="32">IFERROR(IF(U5="Bartender",(HLOOKUP(T5,WedBarTable,6)*O5)+V5,P5+V5),"")</f>
        <v>106.69</v>
      </c>
      <c r="X5" s="7">
        <f t="shared" ref="X5" si="33">IF(U5="Server",-R5*AlcoholTipPercentage,0)+IF(U5="Bartender",HLOOKUP(T5,WedBarTable,5)*O5)</f>
        <v>-4.5599999999999996</v>
      </c>
      <c r="Y5" s="7" cm="1">
        <f t="array" ref="Y5">IFERROR(_xlfn.IFS(HLOOKUP(T5,WedFoodTable,2)=0,0,OR(U5="Server",U5="Bartender"),-Q5*FoodTipPercentage,OR(U5="Expo",U5="Food Runner"),HLOOKUP(T5,WedFoodTable,5)*O5,U5="Host",0),"")</f>
        <v>0</v>
      </c>
      <c r="Z5" s="7" cm="1">
        <f t="array" aca="1" ref="Z5" ca="1">IFERROR(_xlfn.IFS(HLOOKUP(T5,WedHostTable,2)=0,0,OR(U5="Server",U5="Bartender"),-S5*HostTipPercentage,U5="Host",HLOOKUP(T5,WedHostTable,5)*O5,OR(U5="Expo",U5="Food Runner"),0),"")</f>
        <v>0</v>
      </c>
      <c r="AA5" s="11" t="s">
        <v>19</v>
      </c>
      <c r="AB5" s="12">
        <v>1</v>
      </c>
      <c r="AC5" s="11">
        <v>281.93</v>
      </c>
      <c r="AD5" s="11">
        <v>341</v>
      </c>
      <c r="AE5" s="11">
        <v>279.10000000000002</v>
      </c>
      <c r="AF5" s="37">
        <f t="shared" si="20"/>
        <v>620.1</v>
      </c>
      <c r="AG5" s="11" t="s">
        <v>14</v>
      </c>
      <c r="AH5" s="11" t="s">
        <v>15</v>
      </c>
      <c r="AI5" s="37">
        <f t="shared" ref="AI5" ca="1" si="34">IF(AH5="Bartender",(HLOOKUP(AG5,FriFoodTable,6)*AB5)+(HLOOKUP(AG5,FriHostTable,6)*AB5)+AK5,SUM(AK5,AL5,AM5))</f>
        <v>20.978999999999999</v>
      </c>
      <c r="AJ5" s="37">
        <f t="shared" ref="AJ5" ca="1" si="35">IFERROR(IF(AH5="Bartender",(HLOOKUP(AG5,FriBarTable,6)*AB5)+AI5,AC5+AI5),"")</f>
        <v>302.90899999999999</v>
      </c>
      <c r="AK5" s="7">
        <f t="shared" ref="AK5" si="36">IF(AH5="Server",-AE5*AlcoholTipPercentage,0)+IF(AH5="Bartender",HLOOKUP(AG5,FriBarTable,5)*AB5)</f>
        <v>20.978999999999999</v>
      </c>
      <c r="AL5" s="7" cm="1">
        <f t="array" ref="AL5">IFERROR(_xlfn.IFS(HLOOKUP(AG5,FriFoodTable,2)=0,0,OR(AH5="Server",AH5="Bartender"),-AD5*FoodTipPercentage,OR(AH5="Expo",AH5="Food Runner"),HLOOKUP(AG5,FriFoodTable,5)*AB5,AH5="Host",0),"")</f>
        <v>0</v>
      </c>
      <c r="AM5" s="7" cm="1">
        <f t="array" aca="1" ref="AM5" ca="1">IFERROR(_xlfn.IFS(HLOOKUP(AG5,FriHostTable,2)=0,0,OR(AH5="Server",AH5="Bartender"),-AF5*HostTipPercentage,AH5="Host",HLOOKUP(AG5,FriHostTable,5)*AB5,OR(AH5="Expo",AH5="Food Runner"),0),"")</f>
        <v>0</v>
      </c>
      <c r="AN5" s="4" t="s">
        <v>23</v>
      </c>
      <c r="AO5" s="5">
        <v>1</v>
      </c>
      <c r="AP5" s="4">
        <v>219.66</v>
      </c>
      <c r="AQ5" s="4">
        <v>595</v>
      </c>
      <c r="AR5" s="4">
        <v>231.7</v>
      </c>
      <c r="AS5" s="36">
        <f t="shared" si="24"/>
        <v>826.7</v>
      </c>
      <c r="AT5" s="4" t="s">
        <v>14</v>
      </c>
      <c r="AU5" s="4" t="s">
        <v>18</v>
      </c>
      <c r="AV5" s="36">
        <f t="shared" ref="AV5" ca="1" si="37">IF(AU5="Bartender",(HLOOKUP(AT5,SunFoodTable,6)*AO5)+(HLOOKUP(AT5,SunHostTable,6)*AO5)+AX5,SUM(AX5,AY5,AZ5))</f>
        <v>-27.118000000000002</v>
      </c>
      <c r="AW5" s="36">
        <f t="shared" ref="AW5" ca="1" si="38">IFERROR(IF(AU5="Bartender",(HLOOKUP(AT5,SunBarTable,6)*AO5)+AV5,AP5+AV5),"")</f>
        <v>192.542</v>
      </c>
      <c r="AX5" s="7">
        <f t="shared" ref="AX5" si="39">IF(AU5="Server",-AR5*AlcoholTipPercentage,0)+IF(AU5="Bartender",HLOOKUP(AT5,SunBarTable,5)*AO5)</f>
        <v>-6.9509999999999996</v>
      </c>
      <c r="AY5" s="7" cm="1">
        <f t="array" aca="1" ref="AY5" ca="1">IFERROR(_xlfn.IFS(HLOOKUP(AT5,SunFoodTable,2)=0,0,OR(AU5="Server",AU5="Bartender"),-AQ5*FoodTipPercentage,OR(AU5="Expo",AU5="Food Runner"),HLOOKUP(AT5,SunFoodTable,5)*AO5,AU5="Host",0),"")</f>
        <v>-11.9</v>
      </c>
      <c r="AZ5" s="7" cm="1">
        <f t="array" aca="1" ref="AZ5" ca="1">IFERROR(_xlfn.IFS(HLOOKUP(AT5,SunHostTable,2)=0,0,OR(AU5="Server",AU5="Bartender"),-AS5*HostTipPercentage,AU5="Host",HLOOKUP(AT5,SunHostTable,5)*AO5,OR(AU5="Expo",AU5="Food Runner"),0),"")</f>
        <v>-8.2670000000000012</v>
      </c>
    </row>
    <row r="6" spans="1:60" x14ac:dyDescent="0.2">
      <c r="A6" s="9"/>
      <c r="B6" s="10"/>
      <c r="C6" s="9"/>
      <c r="D6" s="9"/>
      <c r="E6" s="9"/>
      <c r="F6" s="1">
        <f t="shared" si="12"/>
        <v>0</v>
      </c>
      <c r="G6" s="9"/>
      <c r="H6" s="9"/>
      <c r="I6" s="1">
        <f t="shared" ref="I6" si="40">IF(H6="Bartender",(HLOOKUP(G6,MonFoodTable,6)*B6)+(HLOOKUP(G6,MonHostTable,6)*B6)+K6,SUM(K6,L6,M6))</f>
        <v>0</v>
      </c>
      <c r="J6" s="1">
        <f t="shared" ref="J6" si="41">IFERROR(IF(H6="Bartender",(HLOOKUP(G6,MonBarTable,6)*B6)+I6,C6+I6),"")</f>
        <v>0</v>
      </c>
      <c r="K6" s="7">
        <f t="shared" ref="K6" si="42">IF(H6="Server",-E6*AlcoholTipPercentage,0)+IF(H6="Bartender",HLOOKUP(G6,MonBarTable,5)*B6)</f>
        <v>0</v>
      </c>
      <c r="L6" s="7" t="str" cm="1">
        <f t="array" ref="L6">IFERROR(_xlfn.IFS(HLOOKUP(G6,MonFoodTable,2)=0,0,OR(H6="Server",H6="Bartender"),-D6*FoodTipPercentage,OR(H6="Expo",H6="Food Runner"),HLOOKUP(G6,MonFoodTable,5)*B6,H6="Host",0),"")</f>
        <v/>
      </c>
      <c r="M6" s="7" t="str" cm="1">
        <f t="array" ref="M6">IFERROR(_xlfn.IFS(HLOOKUP(G6,MonHostTable,2)=0,0,OR(H6="Server",H6="Bartender"),-F6*HostTipPercentage,H6="Host",HLOOKUP(G6,MonHostTable,5)*B6,OR(H6="Expo",H6="Food Runner"),0),"")</f>
        <v/>
      </c>
      <c r="N6" s="4" t="s">
        <v>17</v>
      </c>
      <c r="O6" s="5">
        <v>1</v>
      </c>
      <c r="P6" s="4">
        <v>134.06</v>
      </c>
      <c r="Q6" s="4">
        <v>219.5</v>
      </c>
      <c r="R6" s="4">
        <v>160.19999999999999</v>
      </c>
      <c r="S6" s="3">
        <f t="shared" si="16"/>
        <v>379.7</v>
      </c>
      <c r="T6" s="4" t="s">
        <v>20</v>
      </c>
      <c r="U6" s="4" t="s">
        <v>15</v>
      </c>
      <c r="V6" s="3">
        <f t="shared" ref="V6" ca="1" si="43">IF(U6="Bartender",(HLOOKUP(T6,WedFoodTable,6)*O6)+(HLOOKUP(T6,WedHostTable,6)*O6)+X6,SUM(X6,Y6,Z6))</f>
        <v>9.3659999999999997</v>
      </c>
      <c r="W6" s="3">
        <f t="shared" ref="W6" ca="1" si="44">IFERROR(IF(U6="Bartender",(HLOOKUP(T6,WedBarTable,6)*O6)+V6,P6+V6),"")</f>
        <v>143.42599999999999</v>
      </c>
      <c r="X6" s="7">
        <f t="shared" ref="X6" si="45">IF(U6="Server",-R6*AlcoholTipPercentage,0)+IF(U6="Bartender",HLOOKUP(T6,WedBarTable,5)*O6)</f>
        <v>9.3659999999999997</v>
      </c>
      <c r="Y6" s="7" cm="1">
        <f t="array" ref="Y6">IFERROR(_xlfn.IFS(HLOOKUP(T6,WedFoodTable,2)=0,0,OR(U6="Server",U6="Bartender"),-Q6*FoodTipPercentage,OR(U6="Expo",U6="Food Runner"),HLOOKUP(T6,WedFoodTable,5)*O6,U6="Host",0),"")</f>
        <v>0</v>
      </c>
      <c r="Z6" s="7" cm="1">
        <f t="array" aca="1" ref="Z6" ca="1">IFERROR(_xlfn.IFS(HLOOKUP(T6,WedHostTable,2)=0,0,OR(U6="Server",U6="Bartender"),-S6*HostTipPercentage,U6="Host",HLOOKUP(T6,WedHostTable,5)*O6,OR(U6="Expo",U6="Food Runner"),0),"")</f>
        <v>0</v>
      </c>
      <c r="AA6" s="11" t="s">
        <v>13</v>
      </c>
      <c r="AB6" s="12">
        <v>1</v>
      </c>
      <c r="AC6" s="11">
        <v>394.46</v>
      </c>
      <c r="AD6" s="11">
        <v>586.79999999999995</v>
      </c>
      <c r="AE6" s="11">
        <v>492.95</v>
      </c>
      <c r="AF6" s="37">
        <f t="shared" si="20"/>
        <v>1079.75</v>
      </c>
      <c r="AG6" s="11" t="s">
        <v>20</v>
      </c>
      <c r="AH6" s="11" t="s">
        <v>18</v>
      </c>
      <c r="AI6" s="37">
        <f t="shared" ref="AI6" ca="1" si="46">IF(AH6="Bartender",(HLOOKUP(AG6,FriFoodTable,6)*AB6)+(HLOOKUP(AG6,FriHostTable,6)*AB6)+AK6,SUM(AK6,AL6,AM6))</f>
        <v>-37.321999999999996</v>
      </c>
      <c r="AJ6" s="37">
        <f t="shared" ref="AJ6" ca="1" si="47">IFERROR(IF(AH6="Bartender",(HLOOKUP(AG6,FriBarTable,6)*AB6)+AI6,AC6+AI6),"")</f>
        <v>357.13799999999998</v>
      </c>
      <c r="AK6" s="7">
        <f t="shared" ref="AK6" si="48">IF(AH6="Server",-AE6*AlcoholTipPercentage,0)+IF(AH6="Bartender",HLOOKUP(AG6,FriBarTable,5)*AB6)</f>
        <v>-14.788499999999999</v>
      </c>
      <c r="AL6" s="7" cm="1">
        <f t="array" aca="1" ref="AL6" ca="1">IFERROR(_xlfn.IFS(HLOOKUP(AG6,FriFoodTable,2)=0,0,OR(AH6="Server",AH6="Bartender"),-AD6*FoodTipPercentage,OR(AH6="Expo",AH6="Food Runner"),HLOOKUP(AG6,FriFoodTable,5)*AB6,AH6="Host",0),"")</f>
        <v>-11.735999999999999</v>
      </c>
      <c r="AM6" s="7" cm="1">
        <f t="array" aca="1" ref="AM6" ca="1">IFERROR(_xlfn.IFS(HLOOKUP(AG6,FriHostTable,2)=0,0,OR(AH6="Server",AH6="Bartender"),-AF6*HostTipPercentage,AH6="Host",HLOOKUP(AG6,FriHostTable,5)*AB6,OR(AH6="Expo",AH6="Food Runner"),0),"")</f>
        <v>-10.797499999999999</v>
      </c>
      <c r="AN6" s="4" t="s">
        <v>25</v>
      </c>
      <c r="AO6" s="5">
        <v>1</v>
      </c>
      <c r="AP6" s="4"/>
      <c r="AQ6" s="4"/>
      <c r="AR6" s="4"/>
      <c r="AS6" s="36">
        <f t="shared" si="24"/>
        <v>0</v>
      </c>
      <c r="AT6" s="4" t="s">
        <v>14</v>
      </c>
      <c r="AU6" s="4" t="s">
        <v>26</v>
      </c>
      <c r="AV6" s="36">
        <f t="shared" ref="AV6" ca="1" si="49">IF(AU6="Bartender",(HLOOKUP(AT6,SunFoodTable,6)*AO6)+(HLOOKUP(AT6,SunHostTable,6)*AO6)+AX6,SUM(AX6,AY6,AZ6))</f>
        <v>27.190000000000005</v>
      </c>
      <c r="AW6" s="36">
        <f t="shared" ref="AW6" ca="1" si="50">IFERROR(IF(AU6="Bartender",(HLOOKUP(AT6,SunBarTable,6)*AO6)+AV6,AP6+AV6),"")</f>
        <v>27.190000000000005</v>
      </c>
      <c r="AX6" s="7">
        <f t="shared" ref="AX6" si="51">IF(AU6="Server",-AR6*AlcoholTipPercentage,0)+IF(AU6="Bartender",HLOOKUP(AT6,SunBarTable,5)*AO6)</f>
        <v>0</v>
      </c>
      <c r="AY6" s="7" cm="1">
        <f t="array" aca="1" ref="AY6" ca="1">IFERROR(_xlfn.IFS(HLOOKUP(AT6,SunFoodTable,2)=0,0,OR(AU6="Server",AU6="Bartender"),-AQ6*FoodTipPercentage,OR(AU6="Expo",AU6="Food Runner"),HLOOKUP(AT6,SunFoodTable,5)*AO6,AU6="Host",0),"")</f>
        <v>27.190000000000005</v>
      </c>
      <c r="AZ6" s="7" cm="1">
        <f t="array" aca="1" ref="AZ6" ca="1">IFERROR(_xlfn.IFS(HLOOKUP(AT6,SunHostTable,2)=0,0,OR(AU6="Server",AU6="Bartender"),-AS6*HostTipPercentage,AU6="Host",HLOOKUP(AT6,SunHostTable,5)*AO6,OR(AU6="Expo",AU6="Food Runner"),0),"")</f>
        <v>0</v>
      </c>
    </row>
    <row r="7" spans="1:60" x14ac:dyDescent="0.2">
      <c r="A7" s="9"/>
      <c r="B7" s="10"/>
      <c r="C7" s="9"/>
      <c r="D7" s="9"/>
      <c r="E7" s="9"/>
      <c r="F7" s="1">
        <f t="shared" si="12"/>
        <v>0</v>
      </c>
      <c r="G7" s="9"/>
      <c r="H7" s="9"/>
      <c r="I7" s="1">
        <f t="shared" ref="I7" si="52">IF(H7="Bartender",(HLOOKUP(G7,MonFoodTable,6)*B7)+(HLOOKUP(G7,MonHostTable,6)*B7)+K7,SUM(K7,L7,M7))</f>
        <v>0</v>
      </c>
      <c r="J7" s="1">
        <f t="shared" ref="J7" si="53">IFERROR(IF(H7="Bartender",(HLOOKUP(G7,MonBarTable,6)*B7)+I7,C7+I7),"")</f>
        <v>0</v>
      </c>
      <c r="K7" s="7">
        <f t="shared" ref="K7" si="54">IF(H7="Server",-E7*AlcoholTipPercentage,0)+IF(H7="Bartender",HLOOKUP(G7,MonBarTable,5)*B7)</f>
        <v>0</v>
      </c>
      <c r="L7" s="7" t="str" cm="1">
        <f t="array" ref="L7">IFERROR(_xlfn.IFS(HLOOKUP(G7,MonFoodTable,2)=0,0,OR(H7="Server",H7="Bartender"),-D7*FoodTipPercentage,OR(H7="Expo",H7="Food Runner"),HLOOKUP(G7,MonFoodTable,5)*B7,H7="Host",0),"")</f>
        <v/>
      </c>
      <c r="M7" s="7" t="str" cm="1">
        <f t="array" ref="M7">IFERROR(_xlfn.IFS(HLOOKUP(G7,MonHostTable,2)=0,0,OR(H7="Server",H7="Bartender"),-F7*HostTipPercentage,H7="Host",HLOOKUP(G7,MonHostTable,5)*B7,OR(H7="Expo",H7="Food Runner"),0),"")</f>
        <v/>
      </c>
      <c r="N7" s="4" t="s">
        <v>27</v>
      </c>
      <c r="O7" s="5">
        <v>1</v>
      </c>
      <c r="P7" s="4">
        <v>134.06</v>
      </c>
      <c r="Q7" s="4">
        <v>219.5</v>
      </c>
      <c r="R7" s="4">
        <v>160.19999999999999</v>
      </c>
      <c r="S7" s="3">
        <f t="shared" si="16"/>
        <v>379.7</v>
      </c>
      <c r="T7" s="4" t="s">
        <v>20</v>
      </c>
      <c r="U7" s="4" t="s">
        <v>18</v>
      </c>
      <c r="V7" s="3">
        <f t="shared" ref="V7" ca="1" si="55">IF(U7="Bartender",(HLOOKUP(T7,WedFoodTable,6)*O7)+(HLOOKUP(T7,WedHostTable,6)*O7)+X7,SUM(X7,Y7,Z7))</f>
        <v>-4.8059999999999992</v>
      </c>
      <c r="W7" s="3">
        <f t="shared" ref="W7" ca="1" si="56">IFERROR(IF(U7="Bartender",(HLOOKUP(T7,WedBarTable,6)*O7)+V7,P7+V7),"")</f>
        <v>129.25399999999999</v>
      </c>
      <c r="X7" s="7">
        <f t="shared" ref="X7" si="57">IF(U7="Server",-R7*AlcoholTipPercentage,0)+IF(U7="Bartender",HLOOKUP(T7,WedBarTable,5)*O7)</f>
        <v>-4.8059999999999992</v>
      </c>
      <c r="Y7" s="7" cm="1">
        <f t="array" ref="Y7">IFERROR(_xlfn.IFS(HLOOKUP(T7,WedFoodTable,2)=0,0,OR(U7="Server",U7="Bartender"),-Q7*FoodTipPercentage,OR(U7="Expo",U7="Food Runner"),HLOOKUP(T7,WedFoodTable,5)*O7,U7="Host",0),"")</f>
        <v>0</v>
      </c>
      <c r="Z7" s="7" cm="1">
        <f t="array" aca="1" ref="Z7" ca="1">IFERROR(_xlfn.IFS(HLOOKUP(T7,WedHostTable,2)=0,0,OR(U7="Server",U7="Bartender"),-S7*HostTipPercentage,U7="Host",HLOOKUP(T7,WedHostTable,5)*O7,OR(U7="Expo",U7="Food Runner"),0),"")</f>
        <v>0</v>
      </c>
      <c r="AA7" s="11" t="s">
        <v>28</v>
      </c>
      <c r="AB7" s="12">
        <v>1</v>
      </c>
      <c r="AC7" s="11">
        <v>137.16</v>
      </c>
      <c r="AD7" s="11">
        <v>491</v>
      </c>
      <c r="AE7" s="11">
        <v>291.45</v>
      </c>
      <c r="AF7" s="37">
        <f t="shared" si="20"/>
        <v>782.45</v>
      </c>
      <c r="AG7" s="11" t="s">
        <v>20</v>
      </c>
      <c r="AH7" s="11" t="s">
        <v>18</v>
      </c>
      <c r="AI7" s="37">
        <f t="shared" ref="AI7" ca="1" si="58">IF(AH7="Bartender",(HLOOKUP(AG7,FriFoodTable,6)*AB7)+(HLOOKUP(AG7,FriHostTable,6)*AB7)+AK7,SUM(AK7,AL7,AM7))</f>
        <v>-26.387999999999998</v>
      </c>
      <c r="AJ7" s="37">
        <f t="shared" ref="AJ7" ca="1" si="59">IFERROR(IF(AH7="Bartender",(HLOOKUP(AG7,FriBarTable,6)*AB7)+AI7,AC7+AI7),"")</f>
        <v>110.77199999999999</v>
      </c>
      <c r="AK7" s="7">
        <f t="shared" ref="AK7" si="60">IF(AH7="Server",-AE7*AlcoholTipPercentage,0)+IF(AH7="Bartender",HLOOKUP(AG7,FriBarTable,5)*AB7)</f>
        <v>-8.7434999999999992</v>
      </c>
      <c r="AL7" s="7" cm="1">
        <f t="array" aca="1" ref="AL7" ca="1">IFERROR(_xlfn.IFS(HLOOKUP(AG7,FriFoodTable,2)=0,0,OR(AH7="Server",AH7="Bartender"),-AD7*FoodTipPercentage,OR(AH7="Expo",AH7="Food Runner"),HLOOKUP(AG7,FriFoodTable,5)*AB7,AH7="Host",0),"")</f>
        <v>-9.82</v>
      </c>
      <c r="AM7" s="7" cm="1">
        <f t="array" aca="1" ref="AM7" ca="1">IFERROR(_xlfn.IFS(HLOOKUP(AG7,FriHostTable,2)=0,0,OR(AH7="Server",AH7="Bartender"),-AF7*HostTipPercentage,AH7="Host",HLOOKUP(AG7,FriHostTable,5)*AB7,OR(AH7="Expo",AH7="Food Runner"),0),"")</f>
        <v>-7.8245000000000005</v>
      </c>
      <c r="AN7" s="4" t="s">
        <v>29</v>
      </c>
      <c r="AO7" s="5">
        <v>1</v>
      </c>
      <c r="AP7" s="4"/>
      <c r="AQ7" s="4"/>
      <c r="AR7" s="4"/>
      <c r="AS7" s="36">
        <f t="shared" si="24"/>
        <v>0</v>
      </c>
      <c r="AT7" s="4" t="s">
        <v>14</v>
      </c>
      <c r="AU7" s="4" t="s">
        <v>30</v>
      </c>
      <c r="AV7" s="36">
        <f t="shared" ref="AV7" ca="1" si="61">IF(AU7="Bartender",(HLOOKUP(AT7,SunFoodTable,6)*AO7)+(HLOOKUP(AT7,SunHostTable,6)*AO7)+AX7,SUM(AX7,AY7,AZ7))</f>
        <v>20.127000000000002</v>
      </c>
      <c r="AW7" s="36">
        <f t="shared" ref="AW7" ca="1" si="62">IFERROR(IF(AU7="Bartender",(HLOOKUP(AT7,SunBarTable,6)*AO7)+AV7,AP7+AV7),"")</f>
        <v>20.127000000000002</v>
      </c>
      <c r="AX7" s="7">
        <f t="shared" ref="AX7" si="63">IF(AU7="Server",-AR7*AlcoholTipPercentage,0)+IF(AU7="Bartender",HLOOKUP(AT7,SunBarTable,5)*AO7)</f>
        <v>0</v>
      </c>
      <c r="AY7" s="7" cm="1">
        <f t="array" aca="1" ref="AY7" ca="1">IFERROR(_xlfn.IFS(HLOOKUP(AT7,SunFoodTable,2)=0,0,OR(AU7="Server",AU7="Bartender"),-AQ7*FoodTipPercentage,OR(AU7="Expo",AU7="Food Runner"),HLOOKUP(AT7,SunFoodTable,5)*AO7,AU7="Host",0),"")</f>
        <v>0</v>
      </c>
      <c r="AZ7" s="7" cm="1">
        <f t="array" aca="1" ref="AZ7" ca="1">IFERROR(_xlfn.IFS(HLOOKUP(AT7,SunHostTable,2)=0,0,OR(AU7="Server",AU7="Bartender"),-AS7*HostTipPercentage,AU7="Host",HLOOKUP(AT7,SunHostTable,5)*AO7,OR(AU7="Expo",AU7="Food Runner"),0),"")</f>
        <v>20.127000000000002</v>
      </c>
    </row>
    <row r="8" spans="1:60" x14ac:dyDescent="0.2">
      <c r="A8" s="9"/>
      <c r="B8" s="10"/>
      <c r="C8" s="9"/>
      <c r="D8" s="9"/>
      <c r="E8" s="9"/>
      <c r="F8" s="1">
        <f t="shared" si="12"/>
        <v>0</v>
      </c>
      <c r="G8" s="9"/>
      <c r="H8" s="9"/>
      <c r="I8" s="1">
        <f t="shared" ref="I8" si="64">IF(H8="Bartender",(HLOOKUP(G8,MonFoodTable,6)*B8)+(HLOOKUP(G8,MonHostTable,6)*B8)+K8,SUM(K8,L8,M8))</f>
        <v>0</v>
      </c>
      <c r="J8" s="1">
        <f t="shared" ref="J8" si="65">IFERROR(IF(H8="Bartender",(HLOOKUP(G8,MonBarTable,6)*B8)+I8,C8+I8),"")</f>
        <v>0</v>
      </c>
      <c r="K8" s="7">
        <f t="shared" ref="K8" si="66">IF(H8="Server",-E8*AlcoholTipPercentage,0)+IF(H8="Bartender",HLOOKUP(G8,MonBarTable,5)*B8)</f>
        <v>0</v>
      </c>
      <c r="L8" s="7" t="str" cm="1">
        <f t="array" ref="L8">IFERROR(_xlfn.IFS(HLOOKUP(G8,MonFoodTable,2)=0,0,OR(H8="Server",H8="Bartender"),-D8*FoodTipPercentage,OR(H8="Expo",H8="Food Runner"),HLOOKUP(G8,MonFoodTable,5)*B8,H8="Host",0),"")</f>
        <v/>
      </c>
      <c r="M8" s="7" t="str" cm="1">
        <f t="array" ref="M8">IFERROR(_xlfn.IFS(HLOOKUP(G8,MonHostTable,2)=0,0,OR(H8="Server",H8="Bartender"),-F8*HostTipPercentage,H8="Host",HLOOKUP(G8,MonHostTable,5)*B8,OR(H8="Expo",H8="Food Runner"),0),"")</f>
        <v/>
      </c>
      <c r="N8" s="4"/>
      <c r="O8" s="5"/>
      <c r="P8" s="4"/>
      <c r="Q8" s="4"/>
      <c r="R8" s="4"/>
      <c r="S8" s="3">
        <f t="shared" si="16"/>
        <v>0</v>
      </c>
      <c r="T8" s="4"/>
      <c r="U8" s="4"/>
      <c r="V8" s="3">
        <f t="shared" ref="V8" si="67">IF(U8="Bartender",(HLOOKUP(T8,WedFoodTable,6)*O8)+(HLOOKUP(T8,WedHostTable,6)*O8)+X8,SUM(X8,Y8,Z8))</f>
        <v>0</v>
      </c>
      <c r="W8" s="3">
        <f t="shared" ref="W8" si="68">IFERROR(IF(U8="Bartender",(HLOOKUP(T8,WedBarTable,6)*O8)+V8,P8+V8),"")</f>
        <v>0</v>
      </c>
      <c r="X8" s="7">
        <f t="shared" ref="X8" si="69">IF(U8="Server",-R8*AlcoholTipPercentage,0)+IF(U8="Bartender",HLOOKUP(T8,WedBarTable,5)*O8)</f>
        <v>0</v>
      </c>
      <c r="Y8" s="7" t="str" cm="1">
        <f t="array" ref="Y8">IFERROR(_xlfn.IFS(HLOOKUP(T8,WedFoodTable,2)=0,0,OR(U8="Server",U8="Bartender"),-Q8*FoodTipPercentage,OR(U8="Expo",U8="Food Runner"),HLOOKUP(T8,WedFoodTable,5)*O8,U8="Host",0),"")</f>
        <v/>
      </c>
      <c r="Z8" s="7" t="str" cm="1">
        <f t="array" ref="Z8">IFERROR(_xlfn.IFS(HLOOKUP(T8,WedHostTable,2)=0,0,OR(U8="Server",U8="Bartender"),-S8*HostTipPercentage,U8="Host",HLOOKUP(T8,WedHostTable,5)*O8,OR(U8="Expo",U8="Food Runner"),0),"")</f>
        <v/>
      </c>
      <c r="AA8" s="11" t="s">
        <v>23</v>
      </c>
      <c r="AB8" s="12">
        <v>1</v>
      </c>
      <c r="AC8" s="11">
        <v>12</v>
      </c>
      <c r="AD8" s="11"/>
      <c r="AE8" s="11"/>
      <c r="AF8" s="37">
        <f t="shared" si="20"/>
        <v>0</v>
      </c>
      <c r="AG8" s="11" t="s">
        <v>20</v>
      </c>
      <c r="AH8" s="11" t="s">
        <v>30</v>
      </c>
      <c r="AI8" s="37">
        <f t="shared" ref="AI8" ca="1" si="70">IF(AH8="Bartender",(HLOOKUP(AG8,FriFoodTable,6)*AB8)+(HLOOKUP(AG8,FriHostTable,6)*AB8)+AK8,SUM(AK8,AL8,AM8))</f>
        <v>38.073799999999999</v>
      </c>
      <c r="AJ8" s="37">
        <f t="shared" ref="AJ8" ca="1" si="71">IFERROR(IF(AH8="Bartender",(HLOOKUP(AG8,FriBarTable,6)*AB8)+AI8,AC8+AI8),"")</f>
        <v>50.073799999999999</v>
      </c>
      <c r="AK8" s="7">
        <f t="shared" ref="AK8" si="72">IF(AH8="Server",-AE8*AlcoholTipPercentage,0)+IF(AH8="Bartender",HLOOKUP(AG8,FriBarTable,5)*AB8)</f>
        <v>0</v>
      </c>
      <c r="AL8" s="7" cm="1">
        <f t="array" aca="1" ref="AL8" ca="1">IFERROR(_xlfn.IFS(HLOOKUP(AG8,FriFoodTable,2)=0,0,OR(AH8="Server",AH8="Bartender"),-AD8*FoodTipPercentage,OR(AH8="Expo",AH8="Food Runner"),HLOOKUP(AG8,FriFoodTable,5)*AB8,AH8="Host",0),"")</f>
        <v>0</v>
      </c>
      <c r="AM8" s="7" cm="1">
        <f t="array" aca="1" ref="AM8" ca="1">IFERROR(_xlfn.IFS(HLOOKUP(AG8,FriHostTable,2)=0,0,OR(AH8="Server",AH8="Bartender"),-AF8*HostTipPercentage,AH8="Host",HLOOKUP(AG8,FriHostTable,5)*AB8,OR(AH8="Expo",AH8="Food Runner"),0),"")</f>
        <v>38.073799999999999</v>
      </c>
      <c r="AN8" s="4" t="s">
        <v>13</v>
      </c>
      <c r="AO8" s="5">
        <v>1</v>
      </c>
      <c r="AP8" s="4">
        <v>121.78</v>
      </c>
      <c r="AQ8" s="4">
        <v>207</v>
      </c>
      <c r="AR8" s="4">
        <v>191.87</v>
      </c>
      <c r="AS8" s="36">
        <f t="shared" si="24"/>
        <v>398.87</v>
      </c>
      <c r="AT8" s="4" t="s">
        <v>20</v>
      </c>
      <c r="AU8" s="4" t="s">
        <v>15</v>
      </c>
      <c r="AV8" s="36">
        <f t="shared" ref="AV8" ca="1" si="73">IF(AU8="Bartender",(HLOOKUP(AT8,SunFoodTable,6)*AO8)+(HLOOKUP(AT8,SunHostTable,6)*AO8)+AX8,SUM(AX8,AY8,AZ8))</f>
        <v>9.861600000000001</v>
      </c>
      <c r="AW8" s="36">
        <f t="shared" ref="AW8" ca="1" si="74">IFERROR(IF(AU8="Bartender",(HLOOKUP(AT8,SunBarTable,6)*AO8)+AV8,AP8+AV8),"")</f>
        <v>131.64160000000001</v>
      </c>
      <c r="AX8" s="7">
        <f t="shared" ref="AX8" si="75">IF(AU8="Server",-AR8*AlcoholTipPercentage,0)+IF(AU8="Bartender",HLOOKUP(AT8,SunBarTable,5)*AO8)</f>
        <v>9.861600000000001</v>
      </c>
      <c r="AY8" s="7" cm="1">
        <f t="array" ref="AY8">IFERROR(_xlfn.IFS(HLOOKUP(AT8,SunFoodTable,2)=0,0,OR(AU8="Server",AU8="Bartender"),-AQ8*FoodTipPercentage,OR(AU8="Expo",AU8="Food Runner"),HLOOKUP(AT8,SunFoodTable,5)*AO8,AU8="Host",0),"")</f>
        <v>0</v>
      </c>
      <c r="AZ8" s="7" cm="1">
        <f t="array" aca="1" ref="AZ8" ca="1">IFERROR(_xlfn.IFS(HLOOKUP(AT8,SunHostTable,2)=0,0,OR(AU8="Server",AU8="Bartender"),-AS8*HostTipPercentage,AU8="Host",HLOOKUP(AT8,SunHostTable,5)*AO8,OR(AU8="Expo",AU8="Food Runner"),0),"")</f>
        <v>0</v>
      </c>
    </row>
    <row r="9" spans="1:60" x14ac:dyDescent="0.2">
      <c r="A9" s="9"/>
      <c r="B9" s="10"/>
      <c r="C9" s="9"/>
      <c r="D9" s="9"/>
      <c r="E9" s="9"/>
      <c r="F9" s="1">
        <f t="shared" si="12"/>
        <v>0</v>
      </c>
      <c r="G9" s="9"/>
      <c r="H9" s="9"/>
      <c r="I9" s="1">
        <f t="shared" ref="I9" si="76">IF(H9="Bartender",(HLOOKUP(G9,MonFoodTable,6)*B9)+(HLOOKUP(G9,MonHostTable,6)*B9)+K9,SUM(K9,L9,M9))</f>
        <v>0</v>
      </c>
      <c r="J9" s="1">
        <f t="shared" ref="J9" si="77">IFERROR(IF(H9="Bartender",(HLOOKUP(G9,MonBarTable,6)*B9)+I9,C9+I9),"")</f>
        <v>0</v>
      </c>
      <c r="K9" s="7">
        <f t="shared" ref="K9" si="78">IF(H9="Server",-E9*AlcoholTipPercentage,0)+IF(H9="Bartender",HLOOKUP(G9,MonBarTable,5)*B9)</f>
        <v>0</v>
      </c>
      <c r="L9" s="7" t="str" cm="1">
        <f t="array" ref="L9">IFERROR(_xlfn.IFS(HLOOKUP(G9,MonFoodTable,2)=0,0,OR(H9="Server",H9="Bartender"),-D9*FoodTipPercentage,OR(H9="Expo",H9="Food Runner"),HLOOKUP(G9,MonFoodTable,5)*B9,H9="Host",0),"")</f>
        <v/>
      </c>
      <c r="M9" s="7" t="str" cm="1">
        <f t="array" ref="M9">IFERROR(_xlfn.IFS(HLOOKUP(G9,MonHostTable,2)=0,0,OR(H9="Server",H9="Bartender"),-F9*HostTipPercentage,H9="Host",HLOOKUP(G9,MonHostTable,5)*B9,OR(H9="Expo",H9="Food Runner"),0),"")</f>
        <v/>
      </c>
      <c r="N9" s="4"/>
      <c r="O9" s="5"/>
      <c r="P9" s="4"/>
      <c r="Q9" s="4"/>
      <c r="R9" s="4"/>
      <c r="S9" s="3">
        <f t="shared" si="16"/>
        <v>0</v>
      </c>
      <c r="T9" s="4"/>
      <c r="U9" s="4"/>
      <c r="V9" s="3">
        <f t="shared" ref="V9" si="79">IF(U9="Bartender",(HLOOKUP(T9,WedFoodTable,6)*O9)+(HLOOKUP(T9,WedHostTable,6)*O9)+X9,SUM(X9,Y9,Z9))</f>
        <v>0</v>
      </c>
      <c r="W9" s="3">
        <f t="shared" ref="W9" si="80">IFERROR(IF(U9="Bartender",(HLOOKUP(T9,WedBarTable,6)*O9)+V9,P9+V9),"")</f>
        <v>0</v>
      </c>
      <c r="X9" s="7">
        <f t="shared" ref="X9" si="81">IF(U9="Server",-R9*AlcoholTipPercentage,0)+IF(U9="Bartender",HLOOKUP(T9,WedBarTable,5)*O9)</f>
        <v>0</v>
      </c>
      <c r="Y9" s="7" t="str" cm="1">
        <f t="array" ref="Y9">IFERROR(_xlfn.IFS(HLOOKUP(T9,WedFoodTable,2)=0,0,OR(U9="Server",U9="Bartender"),-Q9*FoodTipPercentage,OR(U9="Expo",U9="Food Runner"),HLOOKUP(T9,WedFoodTable,5)*O9,U9="Host",0),"")</f>
        <v/>
      </c>
      <c r="Z9" s="7" t="str" cm="1">
        <f t="array" ref="Z9">IFERROR(_xlfn.IFS(HLOOKUP(T9,WedHostTable,2)=0,0,OR(U9="Server",U9="Bartender"),-S9*HostTipPercentage,U9="Host",HLOOKUP(T9,WedHostTable,5)*O9,OR(U9="Expo",U9="Food Runner"),0),"")</f>
        <v/>
      </c>
      <c r="AA9" s="11" t="s">
        <v>22</v>
      </c>
      <c r="AB9" s="12">
        <v>1</v>
      </c>
      <c r="AC9" s="11">
        <v>327.39</v>
      </c>
      <c r="AD9" s="11">
        <v>655</v>
      </c>
      <c r="AE9" s="11">
        <v>455.1</v>
      </c>
      <c r="AF9" s="37">
        <f t="shared" si="20"/>
        <v>1110.0999999999999</v>
      </c>
      <c r="AG9" s="11" t="s">
        <v>20</v>
      </c>
      <c r="AH9" s="11" t="s">
        <v>18</v>
      </c>
      <c r="AI9" s="37">
        <f t="shared" ref="AI9" ca="1" si="82">IF(AH9="Bartender",(HLOOKUP(AG9,FriFoodTable,6)*AB9)+(HLOOKUP(AG9,FriHostTable,6)*AB9)+AK9,SUM(AK9,AL9,AM9))</f>
        <v>-37.853999999999999</v>
      </c>
      <c r="AJ9" s="37">
        <f t="shared" ref="AJ9" ca="1" si="83">IFERROR(IF(AH9="Bartender",(HLOOKUP(AG9,FriBarTable,6)*AB9)+AI9,AC9+AI9),"")</f>
        <v>289.536</v>
      </c>
      <c r="AK9" s="7">
        <f t="shared" ref="AK9" si="84">IF(AH9="Server",-AE9*AlcoholTipPercentage,0)+IF(AH9="Bartender",HLOOKUP(AG9,FriBarTable,5)*AB9)</f>
        <v>-13.653</v>
      </c>
      <c r="AL9" s="7" cm="1">
        <f t="array" aca="1" ref="AL9" ca="1">IFERROR(_xlfn.IFS(HLOOKUP(AG9,FriFoodTable,2)=0,0,OR(AH9="Server",AH9="Bartender"),-AD9*FoodTipPercentage,OR(AH9="Expo",AH9="Food Runner"),HLOOKUP(AG9,FriFoodTable,5)*AB9,AH9="Host",0),"")</f>
        <v>-13.1</v>
      </c>
      <c r="AM9" s="7" cm="1">
        <f t="array" aca="1" ref="AM9" ca="1">IFERROR(_xlfn.IFS(HLOOKUP(AG9,FriHostTable,2)=0,0,OR(AH9="Server",AH9="Bartender"),-AF9*HostTipPercentage,AH9="Host",HLOOKUP(AG9,FriHostTable,5)*AB9,OR(AH9="Expo",AH9="Food Runner"),0),"")</f>
        <v>-11.100999999999999</v>
      </c>
      <c r="AN9" s="4" t="s">
        <v>31</v>
      </c>
      <c r="AO9" s="5">
        <v>1</v>
      </c>
      <c r="AP9" s="4">
        <v>319.42</v>
      </c>
      <c r="AQ9" s="4">
        <v>291</v>
      </c>
      <c r="AR9" s="4">
        <v>328.72</v>
      </c>
      <c r="AS9" s="36">
        <f t="shared" si="24"/>
        <v>619.72</v>
      </c>
      <c r="AT9" s="4" t="s">
        <v>20</v>
      </c>
      <c r="AU9" s="4" t="s">
        <v>18</v>
      </c>
      <c r="AV9" s="36">
        <f t="shared" ref="AV9" ca="1" si="85">IF(AU9="Bartender",(HLOOKUP(AT9,SunFoodTable,6)*AO9)+(HLOOKUP(AT9,SunHostTable,6)*AO9)+AX9,SUM(AX9,AY9,AZ9))</f>
        <v>-9.861600000000001</v>
      </c>
      <c r="AW9" s="36">
        <f t="shared" ref="AW9" ca="1" si="86">IFERROR(IF(AU9="Bartender",(HLOOKUP(AT9,SunBarTable,6)*AO9)+AV9,AP9+AV9),"")</f>
        <v>309.55840000000001</v>
      </c>
      <c r="AX9" s="7">
        <f t="shared" ref="AX9" si="87">IF(AU9="Server",-AR9*AlcoholTipPercentage,0)+IF(AU9="Bartender",HLOOKUP(AT9,SunBarTable,5)*AO9)</f>
        <v>-9.861600000000001</v>
      </c>
      <c r="AY9" s="7" cm="1">
        <f t="array" ref="AY9">IFERROR(_xlfn.IFS(HLOOKUP(AT9,SunFoodTable,2)=0,0,OR(AU9="Server",AU9="Bartender"),-AQ9*FoodTipPercentage,OR(AU9="Expo",AU9="Food Runner"),HLOOKUP(AT9,SunFoodTable,5)*AO9,AU9="Host",0),"")</f>
        <v>0</v>
      </c>
      <c r="AZ9" s="7" cm="1">
        <f t="array" aca="1" ref="AZ9" ca="1">IFERROR(_xlfn.IFS(HLOOKUP(AT9,SunHostTable,2)=0,0,OR(AU9="Server",AU9="Bartender"),-AS9*HostTipPercentage,AU9="Host",HLOOKUP(AT9,SunHostTable,5)*AO9,OR(AU9="Expo",AU9="Food Runner"),0),"")</f>
        <v>0</v>
      </c>
    </row>
    <row r="10" spans="1:60" x14ac:dyDescent="0.2">
      <c r="A10" s="9"/>
      <c r="B10" s="10"/>
      <c r="C10" s="9"/>
      <c r="D10" s="9"/>
      <c r="E10" s="9"/>
      <c r="F10" s="1">
        <f t="shared" si="12"/>
        <v>0</v>
      </c>
      <c r="G10" s="9"/>
      <c r="H10" s="9"/>
      <c r="I10" s="1">
        <f t="shared" ref="I10" si="88">IF(H10="Bartender",(HLOOKUP(G10,MonFoodTable,6)*B10)+(HLOOKUP(G10,MonHostTable,6)*B10)+K10,SUM(K10,L10,M10))</f>
        <v>0</v>
      </c>
      <c r="J10" s="1">
        <f t="shared" ref="J10" si="89">IFERROR(IF(H10="Bartender",(HLOOKUP(G10,MonBarTable,6)*B10)+I10,C10+I10),"")</f>
        <v>0</v>
      </c>
      <c r="K10" s="7">
        <f t="shared" ref="K10" si="90">IF(H10="Server",-E10*AlcoholTipPercentage,0)+IF(H10="Bartender",HLOOKUP(G10,MonBarTable,5)*B10)</f>
        <v>0</v>
      </c>
      <c r="L10" s="7" t="str" cm="1">
        <f t="array" ref="L10">IFERROR(_xlfn.IFS(HLOOKUP(G10,MonFoodTable,2)=0,0,OR(H10="Server",H10="Bartender"),-D10*FoodTipPercentage,OR(H10="Expo",H10="Food Runner"),HLOOKUP(G10,MonFoodTable,5)*B10,H10="Host",0),"")</f>
        <v/>
      </c>
      <c r="M10" s="7" t="str" cm="1">
        <f t="array" ref="M10">IFERROR(_xlfn.IFS(HLOOKUP(G10,MonHostTable,2)=0,0,OR(H10="Server",H10="Bartender"),-F10*HostTipPercentage,H10="Host",HLOOKUP(G10,MonHostTable,5)*B10,OR(H10="Expo",H10="Food Runner"),0),"")</f>
        <v/>
      </c>
      <c r="N10" s="4"/>
      <c r="O10" s="5"/>
      <c r="P10" s="4"/>
      <c r="Q10" s="4"/>
      <c r="R10" s="4"/>
      <c r="S10" s="3">
        <f t="shared" si="16"/>
        <v>0</v>
      </c>
      <c r="T10" s="4"/>
      <c r="U10" s="4"/>
      <c r="V10" s="3">
        <f t="shared" ref="V10" si="91">IF(U10="Bartender",(HLOOKUP(T10,WedFoodTable,6)*O10)+(HLOOKUP(T10,WedHostTable,6)*O10)+X10,SUM(X10,Y10,Z10))</f>
        <v>0</v>
      </c>
      <c r="W10" s="3">
        <f t="shared" ref="W10" si="92">IFERROR(IF(U10="Bartender",(HLOOKUP(T10,WedBarTable,6)*O10)+V10,P10+V10),"")</f>
        <v>0</v>
      </c>
      <c r="X10" s="7">
        <f t="shared" ref="X10" si="93">IF(U10="Server",-R10*AlcoholTipPercentage,0)+IF(U10="Bartender",HLOOKUP(T10,WedBarTable,5)*O10)</f>
        <v>0</v>
      </c>
      <c r="Y10" s="7" t="str" cm="1">
        <f t="array" ref="Y10">IFERROR(_xlfn.IFS(HLOOKUP(T10,WedFoodTable,2)=0,0,OR(U10="Server",U10="Bartender"),-Q10*FoodTipPercentage,OR(U10="Expo",U10="Food Runner"),HLOOKUP(T10,WedFoodTable,5)*O10,U10="Host",0),"")</f>
        <v/>
      </c>
      <c r="Z10" s="7" t="str" cm="1">
        <f t="array" ref="Z10">IFERROR(_xlfn.IFS(HLOOKUP(T10,WedHostTable,2)=0,0,OR(U10="Server",U10="Bartender"),-S10*HostTipPercentage,U10="Host",HLOOKUP(T10,WedHostTable,5)*O10,OR(U10="Expo",U10="Food Runner"),0),"")</f>
        <v/>
      </c>
      <c r="AA10" s="11" t="s">
        <v>24</v>
      </c>
      <c r="AB10" s="12">
        <v>1</v>
      </c>
      <c r="AC10" s="11">
        <v>317.45999999999998</v>
      </c>
      <c r="AD10" s="11">
        <v>492.08</v>
      </c>
      <c r="AE10" s="11">
        <v>343</v>
      </c>
      <c r="AF10" s="37">
        <f t="shared" si="20"/>
        <v>835.07999999999993</v>
      </c>
      <c r="AG10" s="11" t="s">
        <v>20</v>
      </c>
      <c r="AH10" s="11" t="s">
        <v>18</v>
      </c>
      <c r="AI10" s="37">
        <f t="shared" ref="AI10" ca="1" si="94">IF(AH10="Bartender",(HLOOKUP(AG10,FriFoodTable,6)*AB10)+(HLOOKUP(AG10,FriHostTable,6)*AB10)+AK10,SUM(AK10,AL10,AM10))</f>
        <v>-28.482399999999998</v>
      </c>
      <c r="AJ10" s="37">
        <f t="shared" ref="AJ10" ca="1" si="95">IFERROR(IF(AH10="Bartender",(HLOOKUP(AG10,FriBarTable,6)*AB10)+AI10,AC10+AI10),"")</f>
        <v>288.9776</v>
      </c>
      <c r="AK10" s="7">
        <f t="shared" ref="AK10" si="96">IF(AH10="Server",-AE10*AlcoholTipPercentage,0)+IF(AH10="Bartender",HLOOKUP(AG10,FriBarTable,5)*AB10)</f>
        <v>-10.29</v>
      </c>
      <c r="AL10" s="7" cm="1">
        <f t="array" aca="1" ref="AL10" ca="1">IFERROR(_xlfn.IFS(HLOOKUP(AG10,FriFoodTable,2)=0,0,OR(AH10="Server",AH10="Bartender"),-AD10*FoodTipPercentage,OR(AH10="Expo",AH10="Food Runner"),HLOOKUP(AG10,FriFoodTable,5)*AB10,AH10="Host",0),"")</f>
        <v>-9.8415999999999997</v>
      </c>
      <c r="AM10" s="7" cm="1">
        <f t="array" aca="1" ref="AM10" ca="1">IFERROR(_xlfn.IFS(HLOOKUP(AG10,FriHostTable,2)=0,0,OR(AH10="Server",AH10="Bartender"),-AF10*HostTipPercentage,AH10="Host",HLOOKUP(AG10,FriHostTable,5)*AB10,OR(AH10="Expo",AH10="Food Runner"),0),"")</f>
        <v>-8.3507999999999996</v>
      </c>
      <c r="AN10" s="4"/>
      <c r="AO10" s="5"/>
      <c r="AP10" s="4"/>
      <c r="AQ10" s="4"/>
      <c r="AR10" s="4"/>
      <c r="AS10" s="36">
        <f t="shared" si="24"/>
        <v>0</v>
      </c>
      <c r="AT10" s="4"/>
      <c r="AU10" s="4"/>
      <c r="AV10" s="36">
        <f t="shared" ref="AV10" si="97">IF(AU10="Bartender",(HLOOKUP(AT10,SunFoodTable,6)*AO10)+(HLOOKUP(AT10,SunHostTable,6)*AO10)+AX10,SUM(AX10,AY10,AZ10))</f>
        <v>0</v>
      </c>
      <c r="AW10" s="36">
        <f t="shared" ref="AW10" si="98">IFERROR(IF(AU10="Bartender",(HLOOKUP(AT10,SunBarTable,6)*AO10)+AV10,AP10+AV10),"")</f>
        <v>0</v>
      </c>
      <c r="AX10" s="7">
        <f t="shared" ref="AX10" si="99">IF(AU10="Server",-AR10*AlcoholTipPercentage,0)+IF(AU10="Bartender",HLOOKUP(AT10,SunBarTable,5)*AO10)</f>
        <v>0</v>
      </c>
      <c r="AY10" s="7" t="str" cm="1">
        <f t="array" ref="AY10">IFERROR(_xlfn.IFS(HLOOKUP(AT10,SunFoodTable,2)=0,0,OR(AU10="Server",AU10="Bartender"),-AQ10*FoodTipPercentage,OR(AU10="Expo",AU10="Food Runner"),HLOOKUP(AT10,SunFoodTable,5)*AO10,AU10="Host",0),"")</f>
        <v/>
      </c>
      <c r="AZ10" s="7" t="str" cm="1">
        <f t="array" ref="AZ10">IFERROR(_xlfn.IFS(HLOOKUP(AT10,SunHostTable,2)=0,0,OR(AU10="Server",AU10="Bartender"),-AS10*HostTipPercentage,AU10="Host",HLOOKUP(AT10,SunHostTable,5)*AO10,OR(AU10="Expo",AU10="Food Runner"),0),"")</f>
        <v/>
      </c>
    </row>
    <row r="11" spans="1:60" x14ac:dyDescent="0.2">
      <c r="A11" s="9"/>
      <c r="B11" s="10"/>
      <c r="C11" s="9"/>
      <c r="D11" s="9"/>
      <c r="E11" s="9"/>
      <c r="F11" s="1">
        <f t="shared" si="12"/>
        <v>0</v>
      </c>
      <c r="G11" s="9"/>
      <c r="H11" s="9"/>
      <c r="I11" s="1">
        <f t="shared" ref="I11" si="100">IF(H11="Bartender",(HLOOKUP(G11,MonFoodTable,6)*B11)+(HLOOKUP(G11,MonHostTable,6)*B11)+K11,SUM(K11,L11,M11))</f>
        <v>0</v>
      </c>
      <c r="J11" s="1">
        <f t="shared" ref="J11" si="101">IFERROR(IF(H11="Bartender",(HLOOKUP(G11,MonBarTable,6)*B11)+I11,C11+I11),"")</f>
        <v>0</v>
      </c>
      <c r="K11" s="7">
        <f t="shared" ref="K11" si="102">IF(H11="Server",-E11*AlcoholTipPercentage,0)+IF(H11="Bartender",HLOOKUP(G11,MonBarTable,5)*B11)</f>
        <v>0</v>
      </c>
      <c r="L11" s="7" t="str" cm="1">
        <f t="array" ref="L11">IFERROR(_xlfn.IFS(HLOOKUP(G11,MonFoodTable,2)=0,0,OR(H11="Server",H11="Bartender"),-D11*FoodTipPercentage,OR(H11="Expo",H11="Food Runner"),HLOOKUP(G11,MonFoodTable,5)*B11,H11="Host",0),"")</f>
        <v/>
      </c>
      <c r="M11" s="7" t="str" cm="1">
        <f t="array" ref="M11">IFERROR(_xlfn.IFS(HLOOKUP(G11,MonHostTable,2)=0,0,OR(H11="Server",H11="Bartender"),-F11*HostTipPercentage,H11="Host",HLOOKUP(G11,MonHostTable,5)*B11,OR(H11="Expo",H11="Food Runner"),0),"")</f>
        <v/>
      </c>
      <c r="N11" s="4"/>
      <c r="O11" s="5"/>
      <c r="P11" s="4"/>
      <c r="Q11" s="4"/>
      <c r="R11" s="4"/>
      <c r="S11" s="3">
        <f t="shared" si="16"/>
        <v>0</v>
      </c>
      <c r="T11" s="4"/>
      <c r="U11" s="4"/>
      <c r="V11" s="3">
        <f t="shared" ref="V11" si="103">IF(U11="Bartender",(HLOOKUP(T11,WedFoodTable,6)*O11)+(HLOOKUP(T11,WedHostTable,6)*O11)+X11,SUM(X11,Y11,Z11))</f>
        <v>0</v>
      </c>
      <c r="W11" s="3">
        <f t="shared" ref="W11" si="104">IFERROR(IF(U11="Bartender",(HLOOKUP(T11,WedBarTable,6)*O11)+V11,P11+V11),"")</f>
        <v>0</v>
      </c>
      <c r="X11" s="7">
        <f t="shared" ref="X11" si="105">IF(U11="Server",-R11*AlcoholTipPercentage,0)+IF(U11="Bartender",HLOOKUP(T11,WedBarTable,5)*O11)</f>
        <v>0</v>
      </c>
      <c r="Y11" s="7" t="str" cm="1">
        <f t="array" ref="Y11">IFERROR(_xlfn.IFS(HLOOKUP(T11,WedFoodTable,2)=0,0,OR(U11="Server",U11="Bartender"),-Q11*FoodTipPercentage,OR(U11="Expo",U11="Food Runner"),HLOOKUP(T11,WedFoodTable,5)*O11,U11="Host",0),"")</f>
        <v/>
      </c>
      <c r="Z11" s="7" t="str" cm="1">
        <f t="array" ref="Z11">IFERROR(_xlfn.IFS(HLOOKUP(T11,WedHostTable,2)=0,0,OR(U11="Server",U11="Bartender"),-S11*HostTipPercentage,U11="Host",HLOOKUP(T11,WedHostTable,5)*O11,OR(U11="Expo",U11="Food Runner"),0),"")</f>
        <v/>
      </c>
      <c r="AA11" s="11" t="s">
        <v>32</v>
      </c>
      <c r="AB11" s="12">
        <v>1</v>
      </c>
      <c r="AC11" s="11">
        <v>5</v>
      </c>
      <c r="AD11" s="11"/>
      <c r="AE11" s="11"/>
      <c r="AF11" s="37">
        <f t="shared" si="20"/>
        <v>0</v>
      </c>
      <c r="AG11" s="11" t="s">
        <v>20</v>
      </c>
      <c r="AH11" s="11" t="s">
        <v>26</v>
      </c>
      <c r="AI11" s="37">
        <f t="shared" ref="AI11" ca="1" si="106">IF(AH11="Bartender",(HLOOKUP(AG11,FriFoodTable,6)*AB11)+(HLOOKUP(AG11,FriHostTable,6)*AB11)+AK11,SUM(AK11,AL11,AM11))</f>
        <v>44.497599999999998</v>
      </c>
      <c r="AJ11" s="37">
        <f t="shared" ref="AJ11" ca="1" si="107">IFERROR(IF(AH11="Bartender",(HLOOKUP(AG11,FriBarTable,6)*AB11)+AI11,AC11+AI11),"")</f>
        <v>49.497599999999998</v>
      </c>
      <c r="AK11" s="7">
        <f t="shared" ref="AK11" si="108">IF(AH11="Server",-AE11*AlcoholTipPercentage,0)+IF(AH11="Bartender",HLOOKUP(AG11,FriBarTable,5)*AB11)</f>
        <v>0</v>
      </c>
      <c r="AL11" s="7" cm="1">
        <f t="array" aca="1" ref="AL11" ca="1">IFERROR(_xlfn.IFS(HLOOKUP(AG11,FriFoodTable,2)=0,0,OR(AH11="Server",AH11="Bartender"),-AD11*FoodTipPercentage,OR(AH11="Expo",AH11="Food Runner"),HLOOKUP(AG11,FriFoodTable,5)*AB11,AH11="Host",0),"")</f>
        <v>44.497599999999998</v>
      </c>
      <c r="AM11" s="7" cm="1">
        <f t="array" aca="1" ref="AM11" ca="1">IFERROR(_xlfn.IFS(HLOOKUP(AG11,FriHostTable,2)=0,0,OR(AH11="Server",AH11="Bartender"),-AF11*HostTipPercentage,AH11="Host",HLOOKUP(AG11,FriHostTable,5)*AB11,OR(AH11="Expo",AH11="Food Runner"),0),"")</f>
        <v>0</v>
      </c>
      <c r="AN11" s="4"/>
      <c r="AO11" s="5"/>
      <c r="AP11" s="4"/>
      <c r="AQ11" s="4"/>
      <c r="AR11" s="4"/>
      <c r="AS11" s="36">
        <f t="shared" si="24"/>
        <v>0</v>
      </c>
      <c r="AT11" s="4"/>
      <c r="AU11" s="4"/>
      <c r="AV11" s="36">
        <f t="shared" ref="AV11" si="109">IF(AU11="Bartender",(HLOOKUP(AT11,SunFoodTable,6)*AO11)+(HLOOKUP(AT11,SunHostTable,6)*AO11)+AX11,SUM(AX11,AY11,AZ11))</f>
        <v>0</v>
      </c>
      <c r="AW11" s="36">
        <f t="shared" ref="AW11" si="110">IFERROR(IF(AU11="Bartender",(HLOOKUP(AT11,SunBarTable,6)*AO11)+AV11,AP11+AV11),"")</f>
        <v>0</v>
      </c>
      <c r="AX11" s="7">
        <f t="shared" ref="AX11" si="111">IF(AU11="Server",-AR11*AlcoholTipPercentage,0)+IF(AU11="Bartender",HLOOKUP(AT11,SunBarTable,5)*AO11)</f>
        <v>0</v>
      </c>
      <c r="AY11" s="7" t="str" cm="1">
        <f t="array" ref="AY11">IFERROR(_xlfn.IFS(HLOOKUP(AT11,SunFoodTable,2)=0,0,OR(AU11="Server",AU11="Bartender"),-AQ11*FoodTipPercentage,OR(AU11="Expo",AU11="Food Runner"),HLOOKUP(AT11,SunFoodTable,5)*AO11,AU11="Host",0),"")</f>
        <v/>
      </c>
      <c r="AZ11" s="7" t="str" cm="1">
        <f t="array" ref="AZ11">IFERROR(_xlfn.IFS(HLOOKUP(AT11,SunHostTable,2)=0,0,OR(AU11="Server",AU11="Bartender"),-AS11*HostTipPercentage,AU11="Host",HLOOKUP(AT11,SunHostTable,5)*AO11,OR(AU11="Expo",AU11="Food Runner"),0),"")</f>
        <v/>
      </c>
    </row>
    <row r="12" spans="1:60" x14ac:dyDescent="0.2">
      <c r="A12" s="9"/>
      <c r="B12" s="10"/>
      <c r="C12" s="9"/>
      <c r="D12" s="9"/>
      <c r="E12" s="9"/>
      <c r="F12" s="1">
        <f t="shared" si="12"/>
        <v>0</v>
      </c>
      <c r="G12" s="9"/>
      <c r="H12" s="9"/>
      <c r="I12" s="1">
        <f t="shared" ref="I12" si="112">IF(H12="Bartender",(HLOOKUP(G12,MonFoodTable,6)*B12)+(HLOOKUP(G12,MonHostTable,6)*B12)+K12,SUM(K12,L12,M12))</f>
        <v>0</v>
      </c>
      <c r="J12" s="1">
        <f t="shared" ref="J12" si="113">IFERROR(IF(H12="Bartender",(HLOOKUP(G12,MonBarTable,6)*B12)+I12,C12+I12),"")</f>
        <v>0</v>
      </c>
      <c r="K12" s="7">
        <f t="shared" ref="K12" si="114">IF(H12="Server",-E12*AlcoholTipPercentage,0)+IF(H12="Bartender",HLOOKUP(G12,MonBarTable,5)*B12)</f>
        <v>0</v>
      </c>
      <c r="L12" s="7" t="str" cm="1">
        <f t="array" ref="L12">IFERROR(_xlfn.IFS(HLOOKUP(G12,MonFoodTable,2)=0,0,OR(H12="Server",H12="Bartender"),-D12*FoodTipPercentage,OR(H12="Expo",H12="Food Runner"),HLOOKUP(G12,MonFoodTable,5)*B12,H12="Host",0),"")</f>
        <v/>
      </c>
      <c r="M12" s="7" t="str" cm="1">
        <f t="array" ref="M12">IFERROR(_xlfn.IFS(HLOOKUP(G12,MonHostTable,2)=0,0,OR(H12="Server",H12="Bartender"),-F12*HostTipPercentage,H12="Host",HLOOKUP(G12,MonHostTable,5)*B12,OR(H12="Expo",H12="Food Runner"),0),"")</f>
        <v/>
      </c>
      <c r="N12" s="4"/>
      <c r="O12" s="5"/>
      <c r="P12" s="4"/>
      <c r="Q12" s="4"/>
      <c r="R12" s="4"/>
      <c r="S12" s="3">
        <f t="shared" si="16"/>
        <v>0</v>
      </c>
      <c r="T12" s="4"/>
      <c r="U12" s="4"/>
      <c r="V12" s="3">
        <f t="shared" ref="V12" si="115">IF(U12="Bartender",(HLOOKUP(T12,WedFoodTable,6)*O12)+(HLOOKUP(T12,WedHostTable,6)*O12)+X12,SUM(X12,Y12,Z12))</f>
        <v>0</v>
      </c>
      <c r="W12" s="3">
        <f t="shared" ref="W12" si="116">IFERROR(IF(U12="Bartender",(HLOOKUP(T12,WedBarTable,6)*O12)+V12,P12+V12),"")</f>
        <v>0</v>
      </c>
      <c r="X12" s="7">
        <f t="shared" ref="X12" si="117">IF(U12="Server",-R12*AlcoholTipPercentage,0)+IF(U12="Bartender",HLOOKUP(T12,WedBarTable,5)*O12)</f>
        <v>0</v>
      </c>
      <c r="Y12" s="7" t="str" cm="1">
        <f t="array" ref="Y12">IFERROR(_xlfn.IFS(HLOOKUP(T12,WedFoodTable,2)=0,0,OR(U12="Server",U12="Bartender"),-Q12*FoodTipPercentage,OR(U12="Expo",U12="Food Runner"),HLOOKUP(T12,WedFoodTable,5)*O12,U12="Host",0),"")</f>
        <v/>
      </c>
      <c r="Z12" s="7" t="str" cm="1">
        <f t="array" ref="Z12">IFERROR(_xlfn.IFS(HLOOKUP(T12,WedHostTable,2)=0,0,OR(U12="Server",U12="Bartender"),-S12*HostTipPercentage,U12="Host",HLOOKUP(T12,WedHostTable,5)*O12,OR(U12="Expo",U12="Food Runner"),0),"")</f>
        <v/>
      </c>
      <c r="AA12" s="11"/>
      <c r="AB12" s="12"/>
      <c r="AC12" s="11"/>
      <c r="AD12" s="11"/>
      <c r="AE12" s="11"/>
      <c r="AF12" s="37">
        <f t="shared" si="20"/>
        <v>0</v>
      </c>
      <c r="AG12" s="11"/>
      <c r="AH12" s="11"/>
      <c r="AI12" s="37">
        <f t="shared" ref="AI12" si="118">IF(AH12="Bartender",(HLOOKUP(AG12,FriFoodTable,6)*AB12)+(HLOOKUP(AG12,FriHostTable,6)*AB12)+AK12,SUM(AK12,AL12,AM12))</f>
        <v>0</v>
      </c>
      <c r="AJ12" s="37">
        <f t="shared" ref="AJ12" si="119">IFERROR(IF(AH12="Bartender",(HLOOKUP(AG12,FriBarTable,6)*AB12)+AI12,AC12+AI12),"")</f>
        <v>0</v>
      </c>
      <c r="AK12" s="7">
        <f t="shared" ref="AK12" si="120">IF(AH12="Server",-AE12*AlcoholTipPercentage,0)+IF(AH12="Bartender",HLOOKUP(AG12,FriBarTable,5)*AB12)</f>
        <v>0</v>
      </c>
      <c r="AL12" s="7" t="str" cm="1">
        <f t="array" ref="AL12">IFERROR(_xlfn.IFS(HLOOKUP(AG12,FriFoodTable,2)=0,0,OR(AH12="Server",AH12="Bartender"),-AD12*FoodTipPercentage,OR(AH12="Expo",AH12="Food Runner"),HLOOKUP(AG12,FriFoodTable,5)*AB12,AH12="Host",0),"")</f>
        <v/>
      </c>
      <c r="AM12" s="7" t="str" cm="1">
        <f t="array" ref="AM12">IFERROR(_xlfn.IFS(HLOOKUP(AG12,FriHostTable,2)=0,0,OR(AH12="Server",AH12="Bartender"),-AF12*HostTipPercentage,AH12="Host",HLOOKUP(AG12,FriHostTable,5)*AB12,OR(AH12="Expo",AH12="Food Runner"),0),"")</f>
        <v/>
      </c>
      <c r="AN12" s="4"/>
      <c r="AO12" s="5"/>
      <c r="AP12" s="4"/>
      <c r="AQ12" s="4"/>
      <c r="AR12" s="4"/>
      <c r="AS12" s="36">
        <f t="shared" si="24"/>
        <v>0</v>
      </c>
      <c r="AT12" s="4"/>
      <c r="AU12" s="4"/>
      <c r="AV12" s="36">
        <f t="shared" ref="AV12" si="121">IF(AU12="Bartender",(HLOOKUP(AT12,SunFoodTable,6)*AO12)+(HLOOKUP(AT12,SunHostTable,6)*AO12)+AX12,SUM(AX12,AY12,AZ12))</f>
        <v>0</v>
      </c>
      <c r="AW12" s="36">
        <f t="shared" ref="AW12" si="122">IFERROR(IF(AU12="Bartender",(HLOOKUP(AT12,SunBarTable,6)*AO12)+AV12,AP12+AV12),"")</f>
        <v>0</v>
      </c>
      <c r="AX12" s="7">
        <f t="shared" ref="AX12" si="123">IF(AU12="Server",-AR12*AlcoholTipPercentage,0)+IF(AU12="Bartender",HLOOKUP(AT12,SunBarTable,5)*AO12)</f>
        <v>0</v>
      </c>
      <c r="AY12" s="7" t="str" cm="1">
        <f t="array" ref="AY12">IFERROR(_xlfn.IFS(HLOOKUP(AT12,SunFoodTable,2)=0,0,OR(AU12="Server",AU12="Bartender"),-AQ12*FoodTipPercentage,OR(AU12="Expo",AU12="Food Runner"),HLOOKUP(AT12,SunFoodTable,5)*AO12,AU12="Host",0),"")</f>
        <v/>
      </c>
      <c r="AZ12" s="7" t="str" cm="1">
        <f t="array" ref="AZ12">IFERROR(_xlfn.IFS(HLOOKUP(AT12,SunHostTable,2)=0,0,OR(AU12="Server",AU12="Bartender"),-AS12*HostTipPercentage,AU12="Host",HLOOKUP(AT12,SunHostTable,5)*AO12,OR(AU12="Expo",AU12="Food Runner"),0),"")</f>
        <v/>
      </c>
    </row>
    <row r="13" spans="1:60" x14ac:dyDescent="0.2">
      <c r="A13" s="9"/>
      <c r="B13" s="10"/>
      <c r="C13" s="9"/>
      <c r="D13" s="9"/>
      <c r="E13" s="9"/>
      <c r="F13" s="1">
        <f t="shared" si="12"/>
        <v>0</v>
      </c>
      <c r="G13" s="9"/>
      <c r="H13" s="9"/>
      <c r="I13" s="1">
        <f t="shared" ref="I13" si="124">IF(H13="Bartender",(HLOOKUP(G13,MonFoodTable,6)*B13)+(HLOOKUP(G13,MonHostTable,6)*B13)+K13,SUM(K13,L13,M13))</f>
        <v>0</v>
      </c>
      <c r="J13" s="1">
        <f t="shared" ref="J13" si="125">IFERROR(IF(H13="Bartender",(HLOOKUP(G13,MonBarTable,6)*B13)+I13,C13+I13),"")</f>
        <v>0</v>
      </c>
      <c r="K13" s="7">
        <f t="shared" ref="K13" si="126">IF(H13="Server",-E13*AlcoholTipPercentage,0)+IF(H13="Bartender",HLOOKUP(G13,MonBarTable,5)*B13)</f>
        <v>0</v>
      </c>
      <c r="L13" s="7" t="str" cm="1">
        <f t="array" ref="L13">IFERROR(_xlfn.IFS(HLOOKUP(G13,MonFoodTable,2)=0,0,OR(H13="Server",H13="Bartender"),-D13*FoodTipPercentage,OR(H13="Expo",H13="Food Runner"),HLOOKUP(G13,MonFoodTable,5)*B13,H13="Host",0),"")</f>
        <v/>
      </c>
      <c r="M13" s="7" t="str" cm="1">
        <f t="array" ref="M13">IFERROR(_xlfn.IFS(HLOOKUP(G13,MonHostTable,2)=0,0,OR(H13="Server",H13="Bartender"),-F13*HostTipPercentage,H13="Host",HLOOKUP(G13,MonHostTable,5)*B13,OR(H13="Expo",H13="Food Runner"),0),"")</f>
        <v/>
      </c>
      <c r="N13" s="4"/>
      <c r="O13" s="5"/>
      <c r="P13" s="4"/>
      <c r="Q13" s="4"/>
      <c r="R13" s="4"/>
      <c r="S13" s="3">
        <f t="shared" si="16"/>
        <v>0</v>
      </c>
      <c r="T13" s="4"/>
      <c r="U13" s="4"/>
      <c r="V13" s="3">
        <f t="shared" ref="V13" si="127">IF(U13="Bartender",(HLOOKUP(T13,WedFoodTable,6)*O13)+(HLOOKUP(T13,WedHostTable,6)*O13)+X13,SUM(X13,Y13,Z13))</f>
        <v>0</v>
      </c>
      <c r="W13" s="3">
        <f t="shared" ref="W13" si="128">IFERROR(IF(U13="Bartender",(HLOOKUP(T13,WedBarTable,6)*O13)+V13,P13+V13),"")</f>
        <v>0</v>
      </c>
      <c r="X13" s="7">
        <f t="shared" ref="X13" si="129">IF(U13="Server",-R13*AlcoholTipPercentage,0)+IF(U13="Bartender",HLOOKUP(T13,WedBarTable,5)*O13)</f>
        <v>0</v>
      </c>
      <c r="Y13" s="7" t="str" cm="1">
        <f t="array" ref="Y13">IFERROR(_xlfn.IFS(HLOOKUP(T13,WedFoodTable,2)=0,0,OR(U13="Server",U13="Bartender"),-Q13*FoodTipPercentage,OR(U13="Expo",U13="Food Runner"),HLOOKUP(T13,WedFoodTable,5)*O13,U13="Host",0),"")</f>
        <v/>
      </c>
      <c r="Z13" s="7" t="str" cm="1">
        <f t="array" ref="Z13">IFERROR(_xlfn.IFS(HLOOKUP(T13,WedHostTable,2)=0,0,OR(U13="Server",U13="Bartender"),-S13*HostTipPercentage,U13="Host",HLOOKUP(T13,WedHostTable,5)*O13,OR(U13="Expo",U13="Food Runner"),0),"")</f>
        <v/>
      </c>
      <c r="AA13" s="11"/>
      <c r="AB13" s="12"/>
      <c r="AC13" s="11"/>
      <c r="AD13" s="11"/>
      <c r="AE13" s="11"/>
      <c r="AF13" s="37">
        <f t="shared" si="20"/>
        <v>0</v>
      </c>
      <c r="AG13" s="11"/>
      <c r="AH13" s="11"/>
      <c r="AI13" s="37">
        <f t="shared" ref="AI13" si="130">IF(AH13="Bartender",(HLOOKUP(AG13,FriFoodTable,6)*AB13)+(HLOOKUP(AG13,FriHostTable,6)*AB13)+AK13,SUM(AK13,AL13,AM13))</f>
        <v>0</v>
      </c>
      <c r="AJ13" s="37">
        <f t="shared" ref="AJ13" si="131">IFERROR(IF(AH13="Bartender",(HLOOKUP(AG13,FriBarTable,6)*AB13)+AI13,AC13+AI13),"")</f>
        <v>0</v>
      </c>
      <c r="AK13" s="7">
        <f t="shared" ref="AK13" si="132">IF(AH13="Server",-AE13*AlcoholTipPercentage,0)+IF(AH13="Bartender",HLOOKUP(AG13,FriBarTable,5)*AB13)</f>
        <v>0</v>
      </c>
      <c r="AL13" s="7" t="str" cm="1">
        <f t="array" ref="AL13">IFERROR(_xlfn.IFS(HLOOKUP(AG13,FriFoodTable,2)=0,0,OR(AH13="Server",AH13="Bartender"),-AD13*FoodTipPercentage,OR(AH13="Expo",AH13="Food Runner"),HLOOKUP(AG13,FriFoodTable,5)*AB13,AH13="Host",0),"")</f>
        <v/>
      </c>
      <c r="AM13" s="7" t="str" cm="1">
        <f t="array" ref="AM13">IFERROR(_xlfn.IFS(HLOOKUP(AG13,FriHostTable,2)=0,0,OR(AH13="Server",AH13="Bartender"),-AF13*HostTipPercentage,AH13="Host",HLOOKUP(AG13,FriHostTable,5)*AB13,OR(AH13="Expo",AH13="Food Runner"),0),"")</f>
        <v/>
      </c>
      <c r="AN13" s="4"/>
      <c r="AO13" s="5"/>
      <c r="AP13" s="4"/>
      <c r="AQ13" s="4"/>
      <c r="AR13" s="4"/>
      <c r="AS13" s="36">
        <f t="shared" si="24"/>
        <v>0</v>
      </c>
      <c r="AT13" s="4"/>
      <c r="AU13" s="4"/>
      <c r="AV13" s="36">
        <f t="shared" ref="AV13" si="133">IF(AU13="Bartender",(HLOOKUP(AT13,SunFoodTable,6)*AO13)+(HLOOKUP(AT13,SunHostTable,6)*AO13)+AX13,SUM(AX13,AY13,AZ13))</f>
        <v>0</v>
      </c>
      <c r="AW13" s="36">
        <f t="shared" ref="AW13" si="134">IFERROR(IF(AU13="Bartender",(HLOOKUP(AT13,SunBarTable,6)*AO13)+AV13,AP13+AV13),"")</f>
        <v>0</v>
      </c>
      <c r="AX13" s="7">
        <f t="shared" ref="AX13" si="135">IF(AU13="Server",-AR13*AlcoholTipPercentage,0)+IF(AU13="Bartender",HLOOKUP(AT13,SunBarTable,5)*AO13)</f>
        <v>0</v>
      </c>
      <c r="AY13" s="7" t="str" cm="1">
        <f t="array" ref="AY13">IFERROR(_xlfn.IFS(HLOOKUP(AT13,SunFoodTable,2)=0,0,OR(AU13="Server",AU13="Bartender"),-AQ13*FoodTipPercentage,OR(AU13="Expo",AU13="Food Runner"),HLOOKUP(AT13,SunFoodTable,5)*AO13,AU13="Host",0),"")</f>
        <v/>
      </c>
      <c r="AZ13" s="7" t="str" cm="1">
        <f t="array" ref="AZ13">IFERROR(_xlfn.IFS(HLOOKUP(AT13,SunHostTable,2)=0,0,OR(AU13="Server",AU13="Bartender"),-AS13*HostTipPercentage,AU13="Host",HLOOKUP(AT13,SunHostTable,5)*AO13,OR(AU13="Expo",AU13="Food Runner"),0),"")</f>
        <v/>
      </c>
    </row>
    <row r="14" spans="1:60" x14ac:dyDescent="0.2">
      <c r="A14" s="9"/>
      <c r="B14" s="10"/>
      <c r="C14" s="9"/>
      <c r="D14" s="9"/>
      <c r="E14" s="9"/>
      <c r="F14" s="1">
        <f t="shared" si="12"/>
        <v>0</v>
      </c>
      <c r="G14" s="9"/>
      <c r="H14" s="9"/>
      <c r="I14" s="1">
        <f t="shared" ref="I14" si="136">IF(H14="Bartender",(HLOOKUP(G14,MonFoodTable,6)*B14)+(HLOOKUP(G14,MonHostTable,6)*B14)+K14,SUM(K14,L14,M14))</f>
        <v>0</v>
      </c>
      <c r="J14" s="1">
        <f t="shared" ref="J14" si="137">IFERROR(IF(H14="Bartender",(HLOOKUP(G14,MonBarTable,6)*B14)+I14,C14+I14),"")</f>
        <v>0</v>
      </c>
      <c r="K14" s="7">
        <f t="shared" ref="K14" si="138">IF(H14="Server",-E14*AlcoholTipPercentage,0)+IF(H14="Bartender",HLOOKUP(G14,MonBarTable,5)*B14)</f>
        <v>0</v>
      </c>
      <c r="L14" s="7" t="str" cm="1">
        <f t="array" ref="L14">IFERROR(_xlfn.IFS(HLOOKUP(G14,MonFoodTable,2)=0,0,OR(H14="Server",H14="Bartender"),-D14*FoodTipPercentage,OR(H14="Expo",H14="Food Runner"),HLOOKUP(G14,MonFoodTable,5)*B14,H14="Host",0),"")</f>
        <v/>
      </c>
      <c r="M14" s="7" t="str" cm="1">
        <f t="array" ref="M14">IFERROR(_xlfn.IFS(HLOOKUP(G14,MonHostTable,2)=0,0,OR(H14="Server",H14="Bartender"),-F14*HostTipPercentage,H14="Host",HLOOKUP(G14,MonHostTable,5)*B14,OR(H14="Expo",H14="Food Runner"),0),"")</f>
        <v/>
      </c>
      <c r="N14" s="4"/>
      <c r="O14" s="5"/>
      <c r="P14" s="4"/>
      <c r="Q14" s="4"/>
      <c r="R14" s="4"/>
      <c r="S14" s="3">
        <f t="shared" si="16"/>
        <v>0</v>
      </c>
      <c r="T14" s="4"/>
      <c r="U14" s="4"/>
      <c r="V14" s="3">
        <f t="shared" ref="V14" si="139">IF(U14="Bartender",(HLOOKUP(T14,WedFoodTable,6)*O14)+(HLOOKUP(T14,WedHostTable,6)*O14)+X14,SUM(X14,Y14,Z14))</f>
        <v>0</v>
      </c>
      <c r="W14" s="3">
        <f t="shared" ref="W14" si="140">IFERROR(IF(U14="Bartender",(HLOOKUP(T14,WedBarTable,6)*O14)+V14,P14+V14),"")</f>
        <v>0</v>
      </c>
      <c r="X14" s="7">
        <f t="shared" ref="X14" si="141">IF(U14="Server",-R14*AlcoholTipPercentage,0)+IF(U14="Bartender",HLOOKUP(T14,WedBarTable,5)*O14)</f>
        <v>0</v>
      </c>
      <c r="Y14" s="7" t="str" cm="1">
        <f t="array" ref="Y14">IFERROR(_xlfn.IFS(HLOOKUP(T14,WedFoodTable,2)=0,0,OR(U14="Server",U14="Bartender"),-Q14*FoodTipPercentage,OR(U14="Expo",U14="Food Runner"),HLOOKUP(T14,WedFoodTable,5)*O14,U14="Host",0),"")</f>
        <v/>
      </c>
      <c r="Z14" s="7" t="str" cm="1">
        <f t="array" ref="Z14">IFERROR(_xlfn.IFS(HLOOKUP(T14,WedHostTable,2)=0,0,OR(U14="Server",U14="Bartender"),-S14*HostTipPercentage,U14="Host",HLOOKUP(T14,WedHostTable,5)*O14,OR(U14="Expo",U14="Food Runner"),0),"")</f>
        <v/>
      </c>
      <c r="AA14" s="11"/>
      <c r="AB14" s="12"/>
      <c r="AC14" s="11"/>
      <c r="AD14" s="11"/>
      <c r="AE14" s="11"/>
      <c r="AF14" s="37">
        <f t="shared" si="20"/>
        <v>0</v>
      </c>
      <c r="AG14" s="11"/>
      <c r="AH14" s="11"/>
      <c r="AI14" s="37">
        <f t="shared" ref="AI14" si="142">IF(AH14="Bartender",(HLOOKUP(AG14,FriFoodTable,6)*AB14)+(HLOOKUP(AG14,FriHostTable,6)*AB14)+AK14,SUM(AK14,AL14,AM14))</f>
        <v>0</v>
      </c>
      <c r="AJ14" s="37">
        <f t="shared" ref="AJ14" si="143">IFERROR(IF(AH14="Bartender",(HLOOKUP(AG14,FriBarTable,6)*AB14)+AI14,AC14+AI14),"")</f>
        <v>0</v>
      </c>
      <c r="AK14" s="7">
        <f t="shared" ref="AK14" si="144">IF(AH14="Server",-AE14*AlcoholTipPercentage,0)+IF(AH14="Bartender",HLOOKUP(AG14,FriBarTable,5)*AB14)</f>
        <v>0</v>
      </c>
      <c r="AL14" s="7" t="str" cm="1">
        <f t="array" ref="AL14">IFERROR(_xlfn.IFS(HLOOKUP(AG14,FriFoodTable,2)=0,0,OR(AH14="Server",AH14="Bartender"),-AD14*FoodTipPercentage,OR(AH14="Expo",AH14="Food Runner"),HLOOKUP(AG14,FriFoodTable,5)*AB14,AH14="Host",0),"")</f>
        <v/>
      </c>
      <c r="AM14" s="7" t="str" cm="1">
        <f t="array" ref="AM14">IFERROR(_xlfn.IFS(HLOOKUP(AG14,FriHostTable,2)=0,0,OR(AH14="Server",AH14="Bartender"),-AF14*HostTipPercentage,AH14="Host",HLOOKUP(AG14,FriHostTable,5)*AB14,OR(AH14="Expo",AH14="Food Runner"),0),"")</f>
        <v/>
      </c>
      <c r="AN14" s="4"/>
      <c r="AO14" s="5"/>
      <c r="AP14" s="4"/>
      <c r="AQ14" s="4"/>
      <c r="AR14" s="4"/>
      <c r="AS14" s="36">
        <f t="shared" si="24"/>
        <v>0</v>
      </c>
      <c r="AT14" s="4"/>
      <c r="AU14" s="4"/>
      <c r="AV14" s="36">
        <f t="shared" ref="AV14" si="145">IF(AU14="Bartender",(HLOOKUP(AT14,SunFoodTable,6)*AO14)+(HLOOKUP(AT14,SunHostTable,6)*AO14)+AX14,SUM(AX14,AY14,AZ14))</f>
        <v>0</v>
      </c>
      <c r="AW14" s="36">
        <f t="shared" ref="AW14" si="146">IFERROR(IF(AU14="Bartender",(HLOOKUP(AT14,SunBarTable,6)*AO14)+AV14,AP14+AV14),"")</f>
        <v>0</v>
      </c>
      <c r="AX14" s="7">
        <f t="shared" ref="AX14" si="147">IF(AU14="Server",-AR14*AlcoholTipPercentage,0)+IF(AU14="Bartender",HLOOKUP(AT14,SunBarTable,5)*AO14)</f>
        <v>0</v>
      </c>
      <c r="AY14" s="7" t="str" cm="1">
        <f t="array" ref="AY14">IFERROR(_xlfn.IFS(HLOOKUP(AT14,SunFoodTable,2)=0,0,OR(AU14="Server",AU14="Bartender"),-AQ14*FoodTipPercentage,OR(AU14="Expo",AU14="Food Runner"),HLOOKUP(AT14,SunFoodTable,5)*AO14,AU14="Host",0),"")</f>
        <v/>
      </c>
      <c r="AZ14" s="7" t="str" cm="1">
        <f t="array" ref="AZ14">IFERROR(_xlfn.IFS(HLOOKUP(AT14,SunHostTable,2)=0,0,OR(AU14="Server",AU14="Bartender"),-AS14*HostTipPercentage,AU14="Host",HLOOKUP(AT14,SunHostTable,5)*AO14,OR(AU14="Expo",AU14="Food Runner"),0),"")</f>
        <v/>
      </c>
    </row>
    <row r="15" spans="1:60" x14ac:dyDescent="0.2">
      <c r="A15" s="9"/>
      <c r="B15" s="10"/>
      <c r="C15" s="9"/>
      <c r="D15" s="9"/>
      <c r="E15" s="9"/>
      <c r="F15" s="1">
        <f t="shared" si="12"/>
        <v>0</v>
      </c>
      <c r="G15" s="9"/>
      <c r="H15" s="9"/>
      <c r="I15" s="1">
        <f t="shared" ref="I15" si="148">IF(H15="Bartender",(HLOOKUP(G15,MonFoodTable,6)*B15)+(HLOOKUP(G15,MonHostTable,6)*B15)+K15,SUM(K15,L15,M15))</f>
        <v>0</v>
      </c>
      <c r="J15" s="1">
        <f t="shared" ref="J15" si="149">IFERROR(IF(H15="Bartender",(HLOOKUP(G15,MonBarTable,6)*B15)+I15,C15+I15),"")</f>
        <v>0</v>
      </c>
      <c r="K15" s="7">
        <f t="shared" ref="K15" si="150">IF(H15="Server",-E15*AlcoholTipPercentage,0)+IF(H15="Bartender",HLOOKUP(G15,MonBarTable,5)*B15)</f>
        <v>0</v>
      </c>
      <c r="L15" s="7" t="str" cm="1">
        <f t="array" ref="L15">IFERROR(_xlfn.IFS(HLOOKUP(G15,MonFoodTable,2)=0,0,OR(H15="Server",H15="Bartender"),-D15*FoodTipPercentage,OR(H15="Expo",H15="Food Runner"),HLOOKUP(G15,MonFoodTable,5)*B15,H15="Host",0),"")</f>
        <v/>
      </c>
      <c r="M15" s="7" t="str" cm="1">
        <f t="array" ref="M15">IFERROR(_xlfn.IFS(HLOOKUP(G15,MonHostTable,2)=0,0,OR(H15="Server",H15="Bartender"),-F15*HostTipPercentage,H15="Host",HLOOKUP(G15,MonHostTable,5)*B15,OR(H15="Expo",H15="Food Runner"),0),"")</f>
        <v/>
      </c>
      <c r="N15" s="4"/>
      <c r="O15" s="5"/>
      <c r="P15" s="4"/>
      <c r="Q15" s="4"/>
      <c r="R15" s="4"/>
      <c r="S15" s="3">
        <f t="shared" si="16"/>
        <v>0</v>
      </c>
      <c r="T15" s="4"/>
      <c r="U15" s="4"/>
      <c r="V15" s="3">
        <f t="shared" ref="V15" si="151">IF(U15="Bartender",(HLOOKUP(T15,WedFoodTable,6)*O15)+(HLOOKUP(T15,WedHostTable,6)*O15)+X15,SUM(X15,Y15,Z15))</f>
        <v>0</v>
      </c>
      <c r="W15" s="3">
        <f t="shared" ref="W15" si="152">IFERROR(IF(U15="Bartender",(HLOOKUP(T15,WedBarTable,6)*O15)+V15,P15+V15),"")</f>
        <v>0</v>
      </c>
      <c r="X15" s="7">
        <f t="shared" ref="X15" si="153">IF(U15="Server",-R15*AlcoholTipPercentage,0)+IF(U15="Bartender",HLOOKUP(T15,WedBarTable,5)*O15)</f>
        <v>0</v>
      </c>
      <c r="Y15" s="7" t="str" cm="1">
        <f t="array" ref="Y15">IFERROR(_xlfn.IFS(HLOOKUP(T15,WedFoodTable,2)=0,0,OR(U15="Server",U15="Bartender"),-Q15*FoodTipPercentage,OR(U15="Expo",U15="Food Runner"),HLOOKUP(T15,WedFoodTable,5)*O15,U15="Host",0),"")</f>
        <v/>
      </c>
      <c r="Z15" s="7" t="str" cm="1">
        <f t="array" ref="Z15">IFERROR(_xlfn.IFS(HLOOKUP(T15,WedHostTable,2)=0,0,OR(U15="Server",U15="Bartender"),-S15*HostTipPercentage,U15="Host",HLOOKUP(T15,WedHostTable,5)*O15,OR(U15="Expo",U15="Food Runner"),0),"")</f>
        <v/>
      </c>
      <c r="AA15" s="11"/>
      <c r="AB15" s="12"/>
      <c r="AC15" s="11"/>
      <c r="AD15" s="11"/>
      <c r="AE15" s="11"/>
      <c r="AF15" s="37">
        <f t="shared" si="20"/>
        <v>0</v>
      </c>
      <c r="AG15" s="11"/>
      <c r="AH15" s="11"/>
      <c r="AI15" s="37">
        <f t="shared" ref="AI15" si="154">IF(AH15="Bartender",(HLOOKUP(AG15,FriFoodTable,6)*AB15)+(HLOOKUP(AG15,FriHostTable,6)*AB15)+AK15,SUM(AK15,AL15,AM15))</f>
        <v>0</v>
      </c>
      <c r="AJ15" s="37">
        <f t="shared" ref="AJ15" si="155">IFERROR(IF(AH15="Bartender",(HLOOKUP(AG15,FriBarTable,6)*AB15)+AI15,AC15+AI15),"")</f>
        <v>0</v>
      </c>
      <c r="AK15" s="7">
        <f t="shared" ref="AK15" si="156">IF(AH15="Server",-AE15*AlcoholTipPercentage,0)+IF(AH15="Bartender",HLOOKUP(AG15,FriBarTable,5)*AB15)</f>
        <v>0</v>
      </c>
      <c r="AL15" s="7" t="str" cm="1">
        <f t="array" ref="AL15">IFERROR(_xlfn.IFS(HLOOKUP(AG15,FriFoodTable,2)=0,0,OR(AH15="Server",AH15="Bartender"),-AD15*FoodTipPercentage,OR(AH15="Expo",AH15="Food Runner"),HLOOKUP(AG15,FriFoodTable,5)*AB15,AH15="Host",0),"")</f>
        <v/>
      </c>
      <c r="AM15" s="7" t="str" cm="1">
        <f t="array" ref="AM15">IFERROR(_xlfn.IFS(HLOOKUP(AG15,FriHostTable,2)=0,0,OR(AH15="Server",AH15="Bartender"),-AF15*HostTipPercentage,AH15="Host",HLOOKUP(AG15,FriHostTable,5)*AB15,OR(AH15="Expo",AH15="Food Runner"),0),"")</f>
        <v/>
      </c>
      <c r="AN15" s="4"/>
      <c r="AO15" s="5"/>
      <c r="AP15" s="4"/>
      <c r="AQ15" s="4"/>
      <c r="AR15" s="4"/>
      <c r="AS15" s="36">
        <f t="shared" si="24"/>
        <v>0</v>
      </c>
      <c r="AT15" s="4"/>
      <c r="AU15" s="4"/>
      <c r="AV15" s="36">
        <f t="shared" ref="AV15" si="157">IF(AU15="Bartender",(HLOOKUP(AT15,SunFoodTable,6)*AO15)+(HLOOKUP(AT15,SunHostTable,6)*AO15)+AX15,SUM(AX15,AY15,AZ15))</f>
        <v>0</v>
      </c>
      <c r="AW15" s="36">
        <f t="shared" ref="AW15" si="158">IFERROR(IF(AU15="Bartender",(HLOOKUP(AT15,SunBarTable,6)*AO15)+AV15,AP15+AV15),"")</f>
        <v>0</v>
      </c>
      <c r="AX15" s="7">
        <f t="shared" ref="AX15" si="159">IF(AU15="Server",-AR15*AlcoholTipPercentage,0)+IF(AU15="Bartender",HLOOKUP(AT15,SunBarTable,5)*AO15)</f>
        <v>0</v>
      </c>
      <c r="AY15" s="7" t="str" cm="1">
        <f t="array" ref="AY15">IFERROR(_xlfn.IFS(HLOOKUP(AT15,SunFoodTable,2)=0,0,OR(AU15="Server",AU15="Bartender"),-AQ15*FoodTipPercentage,OR(AU15="Expo",AU15="Food Runner"),HLOOKUP(AT15,SunFoodTable,5)*AO15,AU15="Host",0),"")</f>
        <v/>
      </c>
      <c r="AZ15" s="7" t="str" cm="1">
        <f t="array" ref="AZ15">IFERROR(_xlfn.IFS(HLOOKUP(AT15,SunHostTable,2)=0,0,OR(AU15="Server",AU15="Bartender"),-AS15*HostTipPercentage,AU15="Host",HLOOKUP(AT15,SunHostTable,5)*AO15,OR(AU15="Expo",AU15="Food Runner"),0),"")</f>
        <v/>
      </c>
    </row>
    <row r="16" spans="1:60" x14ac:dyDescent="0.2">
      <c r="A16" s="9"/>
      <c r="B16" s="10"/>
      <c r="C16" s="9"/>
      <c r="D16" s="9"/>
      <c r="E16" s="9"/>
      <c r="F16" s="1">
        <f t="shared" si="12"/>
        <v>0</v>
      </c>
      <c r="G16" s="9"/>
      <c r="H16" s="9"/>
      <c r="I16" s="1">
        <f t="shared" ref="I16" si="160">IF(H16="Bartender",(HLOOKUP(G16,MonFoodTable,6)*B16)+(HLOOKUP(G16,MonHostTable,6)*B16)+K16,SUM(K16,L16,M16))</f>
        <v>0</v>
      </c>
      <c r="J16" s="1">
        <f t="shared" ref="J16" si="161">IFERROR(IF(H16="Bartender",(HLOOKUP(G16,MonBarTable,6)*B16)+I16,C16+I16),"")</f>
        <v>0</v>
      </c>
      <c r="K16" s="7">
        <f t="shared" ref="K16" si="162">IF(H16="Server",-E16*AlcoholTipPercentage,0)+IF(H16="Bartender",HLOOKUP(G16,MonBarTable,5)*B16)</f>
        <v>0</v>
      </c>
      <c r="L16" s="7" t="str" cm="1">
        <f t="array" ref="L16">IFERROR(_xlfn.IFS(HLOOKUP(G16,MonFoodTable,2)=0,0,OR(H16="Server",H16="Bartender"),-D16*FoodTipPercentage,OR(H16="Expo",H16="Food Runner"),HLOOKUP(G16,MonFoodTable,5)*B16,H16="Host",0),"")</f>
        <v/>
      </c>
      <c r="M16" s="7" t="str" cm="1">
        <f t="array" ref="M16">IFERROR(_xlfn.IFS(HLOOKUP(G16,MonHostTable,2)=0,0,OR(H16="Server",H16="Bartender"),-F16*HostTipPercentage,H16="Host",HLOOKUP(G16,MonHostTable,5)*B16,OR(H16="Expo",H16="Food Runner"),0),"")</f>
        <v/>
      </c>
      <c r="N16" s="4"/>
      <c r="O16" s="5"/>
      <c r="P16" s="4"/>
      <c r="Q16" s="4"/>
      <c r="R16" s="4"/>
      <c r="S16" s="3">
        <f t="shared" si="16"/>
        <v>0</v>
      </c>
      <c r="T16" s="4"/>
      <c r="U16" s="4"/>
      <c r="V16" s="3">
        <f t="shared" ref="V16" si="163">IF(U16="Bartender",(HLOOKUP(T16,WedFoodTable,6)*O16)+(HLOOKUP(T16,WedHostTable,6)*O16)+X16,SUM(X16,Y16,Z16))</f>
        <v>0</v>
      </c>
      <c r="W16" s="3">
        <f t="shared" ref="W16" si="164">IFERROR(IF(U16="Bartender",(HLOOKUP(T16,WedBarTable,6)*O16)+V16,P16+V16),"")</f>
        <v>0</v>
      </c>
      <c r="X16" s="7">
        <f t="shared" ref="X16" si="165">IF(U16="Server",-R16*AlcoholTipPercentage,0)+IF(U16="Bartender",HLOOKUP(T16,WedBarTable,5)*O16)</f>
        <v>0</v>
      </c>
      <c r="Y16" s="7" t="str" cm="1">
        <f t="array" ref="Y16">IFERROR(_xlfn.IFS(HLOOKUP(T16,WedFoodTable,2)=0,0,OR(U16="Server",U16="Bartender"),-Q16*FoodTipPercentage,OR(U16="Expo",U16="Food Runner"),HLOOKUP(T16,WedFoodTable,5)*O16,U16="Host",0),"")</f>
        <v/>
      </c>
      <c r="Z16" s="7" t="str" cm="1">
        <f t="array" ref="Z16">IFERROR(_xlfn.IFS(HLOOKUP(T16,WedHostTable,2)=0,0,OR(U16="Server",U16="Bartender"),-S16*HostTipPercentage,U16="Host",HLOOKUP(T16,WedHostTable,5)*O16,OR(U16="Expo",U16="Food Runner"),0),"")</f>
        <v/>
      </c>
      <c r="AA16" s="11"/>
      <c r="AB16" s="12"/>
      <c r="AC16" s="11"/>
      <c r="AD16" s="11"/>
      <c r="AE16" s="11"/>
      <c r="AF16" s="37">
        <f t="shared" si="20"/>
        <v>0</v>
      </c>
      <c r="AG16" s="11"/>
      <c r="AH16" s="11"/>
      <c r="AI16" s="37">
        <f t="shared" ref="AI16" si="166">IF(AH16="Bartender",(HLOOKUP(AG16,FriFoodTable,6)*AB16)+(HLOOKUP(AG16,FriHostTable,6)*AB16)+AK16,SUM(AK16,AL16,AM16))</f>
        <v>0</v>
      </c>
      <c r="AJ16" s="37">
        <f t="shared" ref="AJ16" si="167">IFERROR(IF(AH16="Bartender",(HLOOKUP(AG16,FriBarTable,6)*AB16)+AI16,AC16+AI16),"")</f>
        <v>0</v>
      </c>
      <c r="AK16" s="7">
        <f t="shared" ref="AK16" si="168">IF(AH16="Server",-AE16*AlcoholTipPercentage,0)+IF(AH16="Bartender",HLOOKUP(AG16,FriBarTable,5)*AB16)</f>
        <v>0</v>
      </c>
      <c r="AL16" s="7" t="str" cm="1">
        <f t="array" ref="AL16">IFERROR(_xlfn.IFS(HLOOKUP(AG16,FriFoodTable,2)=0,0,OR(AH16="Server",AH16="Bartender"),-AD16*FoodTipPercentage,OR(AH16="Expo",AH16="Food Runner"),HLOOKUP(AG16,FriFoodTable,5)*AB16,AH16="Host",0),"")</f>
        <v/>
      </c>
      <c r="AM16" s="7" t="str" cm="1">
        <f t="array" ref="AM16">IFERROR(_xlfn.IFS(HLOOKUP(AG16,FriHostTable,2)=0,0,OR(AH16="Server",AH16="Bartender"),-AF16*HostTipPercentage,AH16="Host",HLOOKUP(AG16,FriHostTable,5)*AB16,OR(AH16="Expo",AH16="Food Runner"),0),"")</f>
        <v/>
      </c>
      <c r="AN16" s="4"/>
      <c r="AO16" s="5"/>
      <c r="AP16" s="4"/>
      <c r="AQ16" s="4"/>
      <c r="AR16" s="4"/>
      <c r="AS16" s="36">
        <f t="shared" si="24"/>
        <v>0</v>
      </c>
      <c r="AT16" s="4"/>
      <c r="AU16" s="4"/>
      <c r="AV16" s="36">
        <f t="shared" ref="AV16" si="169">IF(AU16="Bartender",(HLOOKUP(AT16,SunFoodTable,6)*AO16)+(HLOOKUP(AT16,SunHostTable,6)*AO16)+AX16,SUM(AX16,AY16,AZ16))</f>
        <v>0</v>
      </c>
      <c r="AW16" s="36">
        <f t="shared" ref="AW16" si="170">IFERROR(IF(AU16="Bartender",(HLOOKUP(AT16,SunBarTable,6)*AO16)+AV16,AP16+AV16),"")</f>
        <v>0</v>
      </c>
      <c r="AX16" s="7">
        <f t="shared" ref="AX16" si="171">IF(AU16="Server",-AR16*AlcoholTipPercentage,0)+IF(AU16="Bartender",HLOOKUP(AT16,SunBarTable,5)*AO16)</f>
        <v>0</v>
      </c>
      <c r="AY16" s="7" t="str" cm="1">
        <f t="array" ref="AY16">IFERROR(_xlfn.IFS(HLOOKUP(AT16,SunFoodTable,2)=0,0,OR(AU16="Server",AU16="Bartender"),-AQ16*FoodTipPercentage,OR(AU16="Expo",AU16="Food Runner"),HLOOKUP(AT16,SunFoodTable,5)*AO16,AU16="Host",0),"")</f>
        <v/>
      </c>
      <c r="AZ16" s="7" t="str" cm="1">
        <f t="array" ref="AZ16">IFERROR(_xlfn.IFS(HLOOKUP(AT16,SunHostTable,2)=0,0,OR(AU16="Server",AU16="Bartender"),-AS16*HostTipPercentage,AU16="Host",HLOOKUP(AT16,SunHostTable,5)*AO16,OR(AU16="Expo",AU16="Food Runner"),0),"")</f>
        <v/>
      </c>
    </row>
    <row r="17" spans="1:52" x14ac:dyDescent="0.2">
      <c r="A17" s="9"/>
      <c r="B17" s="10"/>
      <c r="C17" s="9"/>
      <c r="D17" s="9"/>
      <c r="E17" s="9"/>
      <c r="F17" s="1">
        <f t="shared" si="12"/>
        <v>0</v>
      </c>
      <c r="G17" s="9"/>
      <c r="H17" s="9"/>
      <c r="I17" s="1">
        <f t="shared" ref="I17" si="172">IF(H17="Bartender",(HLOOKUP(G17,MonFoodTable,6)*B17)+(HLOOKUP(G17,MonHostTable,6)*B17)+K17,SUM(K17,L17,M17))</f>
        <v>0</v>
      </c>
      <c r="J17" s="1">
        <f t="shared" ref="J17" si="173">IFERROR(IF(H17="Bartender",(HLOOKUP(G17,MonBarTable,6)*B17)+I17,C17+I17),"")</f>
        <v>0</v>
      </c>
      <c r="K17" s="7">
        <f t="shared" ref="K17" si="174">IF(H17="Server",-E17*AlcoholTipPercentage,0)+IF(H17="Bartender",HLOOKUP(G17,MonBarTable,5)*B17)</f>
        <v>0</v>
      </c>
      <c r="L17" s="7" t="str" cm="1">
        <f t="array" ref="L17">IFERROR(_xlfn.IFS(HLOOKUP(G17,MonFoodTable,2)=0,0,OR(H17="Server",H17="Bartender"),-D17*FoodTipPercentage,OR(H17="Expo",H17="Food Runner"),HLOOKUP(G17,MonFoodTable,5)*B17,H17="Host",0),"")</f>
        <v/>
      </c>
      <c r="M17" s="7" t="str" cm="1">
        <f t="array" ref="M17">IFERROR(_xlfn.IFS(HLOOKUP(G17,MonHostTable,2)=0,0,OR(H17="Server",H17="Bartender"),-F17*HostTipPercentage,H17="Host",HLOOKUP(G17,MonHostTable,5)*B17,OR(H17="Expo",H17="Food Runner"),0),"")</f>
        <v/>
      </c>
      <c r="N17" s="4"/>
      <c r="O17" s="5"/>
      <c r="P17" s="4"/>
      <c r="Q17" s="4"/>
      <c r="R17" s="4"/>
      <c r="S17" s="36">
        <f t="shared" si="16"/>
        <v>0</v>
      </c>
      <c r="T17" s="4"/>
      <c r="U17" s="4"/>
      <c r="V17" s="3">
        <f t="shared" ref="V17" si="175">IF(U17="Bartender",(HLOOKUP(T17,WedFoodTable,6)*O17)+(HLOOKUP(T17,WedHostTable,6)*O17)+X17,SUM(X17,Y17,Z17))</f>
        <v>0</v>
      </c>
      <c r="W17" s="36">
        <f t="shared" ref="W17" si="176">IFERROR(IF(U17="Bartender",(HLOOKUP(T17,WedBarTable,6)*O17)+V17,P17+V17),"")</f>
        <v>0</v>
      </c>
      <c r="X17" s="7">
        <f t="shared" ref="X17" si="177">IF(U17="Server",-R17*AlcoholTipPercentage,0)+IF(U17="Bartender",HLOOKUP(T17,WedBarTable,5)*O17)</f>
        <v>0</v>
      </c>
      <c r="Y17" s="7" t="str" cm="1">
        <f t="array" ref="Y17">IFERROR(_xlfn.IFS(HLOOKUP(T17,WedFoodTable,2)=0,0,OR(U17="Server",U17="Bartender"),-Q17*FoodTipPercentage,OR(U17="Expo",U17="Food Runner"),HLOOKUP(T17,WedFoodTable,5)*O17,U17="Host",0),"")</f>
        <v/>
      </c>
      <c r="Z17" s="7" t="str" cm="1">
        <f t="array" ref="Z17">IFERROR(_xlfn.IFS(HLOOKUP(T17,WedHostTable,2)=0,0,OR(U17="Server",U17="Bartender"),-S17*HostTipPercentage,U17="Host",HLOOKUP(T17,WedHostTable,5)*O17,OR(U17="Expo",U17="Food Runner"),0),"")</f>
        <v/>
      </c>
      <c r="AA17" s="11"/>
      <c r="AB17" s="12"/>
      <c r="AC17" s="11"/>
      <c r="AD17" s="11"/>
      <c r="AE17" s="11"/>
      <c r="AF17" s="37">
        <f t="shared" si="20"/>
        <v>0</v>
      </c>
      <c r="AG17" s="11"/>
      <c r="AH17" s="11"/>
      <c r="AI17" s="37">
        <f t="shared" ref="AI17" si="178">IF(AH17="Bartender",(HLOOKUP(AG17,FriFoodTable,6)*AB17)+(HLOOKUP(AG17,FriHostTable,6)*AB17)+AK17,SUM(AK17,AL17,AM17))</f>
        <v>0</v>
      </c>
      <c r="AJ17" s="37">
        <f t="shared" ref="AJ17" si="179">IFERROR(IF(AH17="Bartender",(HLOOKUP(AG17,FriBarTable,6)*AB17)+AI17,AC17+AI17),"")</f>
        <v>0</v>
      </c>
      <c r="AK17" s="7">
        <f t="shared" ref="AK17" si="180">IF(AH17="Server",-AE17*AlcoholTipPercentage,0)+IF(AH17="Bartender",HLOOKUP(AG17,FriBarTable,5)*AB17)</f>
        <v>0</v>
      </c>
      <c r="AL17" s="7" t="str" cm="1">
        <f t="array" ref="AL17">IFERROR(_xlfn.IFS(HLOOKUP(AG17,FriFoodTable,2)=0,0,OR(AH17="Server",AH17="Bartender"),-AD17*FoodTipPercentage,OR(AH17="Expo",AH17="Food Runner"),HLOOKUP(AG17,FriFoodTable,5)*AB17,AH17="Host",0),"")</f>
        <v/>
      </c>
      <c r="AM17" s="7" t="str" cm="1">
        <f t="array" ref="AM17">IFERROR(_xlfn.IFS(HLOOKUP(AG17,FriHostTable,2)=0,0,OR(AH17="Server",AH17="Bartender"),-AF17*HostTipPercentage,AH17="Host",HLOOKUP(AG17,FriHostTable,5)*AB17,OR(AH17="Expo",AH17="Food Runner"),0),"")</f>
        <v/>
      </c>
      <c r="AN17" s="4"/>
      <c r="AO17" s="5"/>
      <c r="AP17" s="4"/>
      <c r="AQ17" s="4"/>
      <c r="AR17" s="4"/>
      <c r="AS17" s="36">
        <f t="shared" si="24"/>
        <v>0</v>
      </c>
      <c r="AT17" s="4"/>
      <c r="AU17" s="4"/>
      <c r="AV17" s="36">
        <f t="shared" ref="AV17" si="181">IF(AU17="Bartender",(HLOOKUP(AT17,SunFoodTable,6)*AO17)+(HLOOKUP(AT17,SunHostTable,6)*AO17)+AX17,SUM(AX17,AY17,AZ17))</f>
        <v>0</v>
      </c>
      <c r="AW17" s="36">
        <f t="shared" ref="AW17" si="182">IFERROR(IF(AU17="Bartender",(HLOOKUP(AT17,SunBarTable,6)*AO17)+AV17,AP17+AV17),"")</f>
        <v>0</v>
      </c>
      <c r="AX17" s="7">
        <f t="shared" ref="AX17" si="183">IF(AU17="Server",-AR17*AlcoholTipPercentage,0)+IF(AU17="Bartender",HLOOKUP(AT17,SunBarTable,5)*AO17)</f>
        <v>0</v>
      </c>
      <c r="AY17" s="7" t="str" cm="1">
        <f t="array" ref="AY17">IFERROR(_xlfn.IFS(HLOOKUP(AT17,SunFoodTable,2)=0,0,OR(AU17="Server",AU17="Bartender"),-AQ17*FoodTipPercentage,OR(AU17="Expo",AU17="Food Runner"),HLOOKUP(AT17,SunFoodTable,5)*AO17,AU17="Host",0),"")</f>
        <v/>
      </c>
      <c r="AZ17" s="7" t="str" cm="1">
        <f t="array" ref="AZ17">IFERROR(_xlfn.IFS(HLOOKUP(AT17,SunHostTable,2)=0,0,OR(AU17="Server",AU17="Bartender"),-AS17*HostTipPercentage,AU17="Host",HLOOKUP(AT17,SunHostTable,5)*AO17,OR(AU17="Expo",AU17="Food Runner"),0),"")</f>
        <v/>
      </c>
    </row>
    <row r="18" spans="1:52" x14ac:dyDescent="0.2">
      <c r="A18" s="9"/>
      <c r="B18" s="10"/>
      <c r="C18" s="9"/>
      <c r="D18" s="9"/>
      <c r="E18" s="9"/>
      <c r="F18" s="1">
        <f t="shared" si="12"/>
        <v>0</v>
      </c>
      <c r="G18" s="9"/>
      <c r="H18" s="9"/>
      <c r="I18" s="1">
        <f t="shared" ref="I18" si="184">IF(H18="Bartender",(HLOOKUP(G18,MonFoodTable,6)*B18)+(HLOOKUP(G18,MonHostTable,6)*B18)+K18,SUM(K18,L18,M18))</f>
        <v>0</v>
      </c>
      <c r="J18" s="1">
        <f t="shared" ref="J18" si="185">IFERROR(IF(H18="Bartender",(HLOOKUP(G18,MonBarTable,6)*B18)+I18,C18+I18),"")</f>
        <v>0</v>
      </c>
      <c r="K18" s="7">
        <f t="shared" ref="K18" si="186">IF(H18="Server",-E18*AlcoholTipPercentage,0)+IF(H18="Bartender",HLOOKUP(G18,MonBarTable,5)*B18)</f>
        <v>0</v>
      </c>
      <c r="L18" s="7" t="str" cm="1">
        <f t="array" ref="L18">IFERROR(_xlfn.IFS(HLOOKUP(G18,MonFoodTable,2)=0,0,OR(H18="Server",H18="Bartender"),-D18*FoodTipPercentage,OR(H18="Expo",H18="Food Runner"),HLOOKUP(G18,MonFoodTable,5)*B18,H18="Host",0),"")</f>
        <v/>
      </c>
      <c r="M18" s="7" t="str" cm="1">
        <f t="array" ref="M18">IFERROR(_xlfn.IFS(HLOOKUP(G18,MonHostTable,2)=0,0,OR(H18="Server",H18="Bartender"),-F18*HostTipPercentage,H18="Host",HLOOKUP(G18,MonHostTable,5)*B18,OR(H18="Expo",H18="Food Runner"),0),"")</f>
        <v/>
      </c>
      <c r="N18" s="4"/>
      <c r="O18" s="5"/>
      <c r="P18" s="4"/>
      <c r="Q18" s="4"/>
      <c r="R18" s="4"/>
      <c r="S18" s="36">
        <f t="shared" si="16"/>
        <v>0</v>
      </c>
      <c r="T18" s="4"/>
      <c r="U18" s="4"/>
      <c r="V18" s="3">
        <f t="shared" ref="V18" si="187">IF(U18="Bartender",(HLOOKUP(T18,WedFoodTable,6)*O18)+(HLOOKUP(T18,WedHostTable,6)*O18)+X18,SUM(X18,Y18,Z18))</f>
        <v>0</v>
      </c>
      <c r="W18" s="36">
        <f t="shared" ref="W18" si="188">IFERROR(IF(U18="Bartender",(HLOOKUP(T18,WedBarTable,6)*O18)+V18,P18+V18),"")</f>
        <v>0</v>
      </c>
      <c r="X18" s="7">
        <f t="shared" ref="X18" si="189">IF(U18="Server",-R18*AlcoholTipPercentage,0)+IF(U18="Bartender",HLOOKUP(T18,WedBarTable,5)*O18)</f>
        <v>0</v>
      </c>
      <c r="Y18" s="7" t="str" cm="1">
        <f t="array" ref="Y18">IFERROR(_xlfn.IFS(HLOOKUP(T18,WedFoodTable,2)=0,0,OR(U18="Server",U18="Bartender"),-Q18*FoodTipPercentage,OR(U18="Expo",U18="Food Runner"),HLOOKUP(T18,WedFoodTable,5)*O18,U18="Host",0),"")</f>
        <v/>
      </c>
      <c r="Z18" s="7" t="str" cm="1">
        <f t="array" ref="Z18">IFERROR(_xlfn.IFS(HLOOKUP(T18,WedHostTable,2)=0,0,OR(U18="Server",U18="Bartender"),-S18*HostTipPercentage,U18="Host",HLOOKUP(T18,WedHostTable,5)*O18,OR(U18="Expo",U18="Food Runner"),0),"")</f>
        <v/>
      </c>
      <c r="AA18" s="11"/>
      <c r="AB18" s="12"/>
      <c r="AC18" s="11"/>
      <c r="AD18" s="11"/>
      <c r="AE18" s="11"/>
      <c r="AF18" s="37">
        <f t="shared" si="20"/>
        <v>0</v>
      </c>
      <c r="AG18" s="11"/>
      <c r="AH18" s="11"/>
      <c r="AI18" s="37">
        <f t="shared" ref="AI18" si="190">IF(AH18="Bartender",(HLOOKUP(AG18,FriFoodTable,6)*AB18)+(HLOOKUP(AG18,FriHostTable,6)*AB18)+AK18,SUM(AK18,AL18,AM18))</f>
        <v>0</v>
      </c>
      <c r="AJ18" s="37">
        <f t="shared" ref="AJ18" si="191">IFERROR(IF(AH18="Bartender",(HLOOKUP(AG18,FriBarTable,6)*AB18)+AI18,AC18+AI18),"")</f>
        <v>0</v>
      </c>
      <c r="AK18" s="7">
        <f t="shared" ref="AK18" si="192">IF(AH18="Server",-AE18*AlcoholTipPercentage,0)+IF(AH18="Bartender",HLOOKUP(AG18,FriBarTable,5)*AB18)</f>
        <v>0</v>
      </c>
      <c r="AL18" s="7" t="str" cm="1">
        <f t="array" ref="AL18">IFERROR(_xlfn.IFS(HLOOKUP(AG18,FriFoodTable,2)=0,0,OR(AH18="Server",AH18="Bartender"),-AD18*FoodTipPercentage,OR(AH18="Expo",AH18="Food Runner"),HLOOKUP(AG18,FriFoodTable,5)*AB18,AH18="Host",0),"")</f>
        <v/>
      </c>
      <c r="AM18" s="7" t="str" cm="1">
        <f t="array" ref="AM18">IFERROR(_xlfn.IFS(HLOOKUP(AG18,FriHostTable,2)=0,0,OR(AH18="Server",AH18="Bartender"),-AF18*HostTipPercentage,AH18="Host",HLOOKUP(AG18,FriHostTable,5)*AB18,OR(AH18="Expo",AH18="Food Runner"),0),"")</f>
        <v/>
      </c>
      <c r="AN18" s="4"/>
      <c r="AO18" s="5"/>
      <c r="AP18" s="4"/>
      <c r="AQ18" s="4"/>
      <c r="AR18" s="4"/>
      <c r="AS18" s="36">
        <f t="shared" si="24"/>
        <v>0</v>
      </c>
      <c r="AT18" s="4"/>
      <c r="AU18" s="4"/>
      <c r="AV18" s="36">
        <f t="shared" ref="AV18" si="193">IF(AU18="Bartender",(HLOOKUP(AT18,SunFoodTable,6)*AO18)+(HLOOKUP(AT18,SunHostTable,6)*AO18)+AX18,SUM(AX18,AY18,AZ18))</f>
        <v>0</v>
      </c>
      <c r="AW18" s="36">
        <f t="shared" ref="AW18" si="194">IFERROR(IF(AU18="Bartender",(HLOOKUP(AT18,SunBarTable,6)*AO18)+AV18,AP18+AV18),"")</f>
        <v>0</v>
      </c>
      <c r="AX18" s="7">
        <f t="shared" ref="AX18" si="195">IF(AU18="Server",-AR18*AlcoholTipPercentage,0)+IF(AU18="Bartender",HLOOKUP(AT18,SunBarTable,5)*AO18)</f>
        <v>0</v>
      </c>
      <c r="AY18" s="7" t="str" cm="1">
        <f t="array" ref="AY18">IFERROR(_xlfn.IFS(HLOOKUP(AT18,SunFoodTable,2)=0,0,OR(AU18="Server",AU18="Bartender"),-AQ18*FoodTipPercentage,OR(AU18="Expo",AU18="Food Runner"),HLOOKUP(AT18,SunFoodTable,5)*AO18,AU18="Host",0),"")</f>
        <v/>
      </c>
      <c r="AZ18" s="7" t="str" cm="1">
        <f t="array" ref="AZ18">IFERROR(_xlfn.IFS(HLOOKUP(AT18,SunHostTable,2)=0,0,OR(AU18="Server",AU18="Bartender"),-AS18*HostTipPercentage,AU18="Host",HLOOKUP(AT18,SunHostTable,5)*AO18,OR(AU18="Expo",AU18="Food Runner"),0),"")</f>
        <v/>
      </c>
    </row>
    <row r="19" spans="1:52" x14ac:dyDescent="0.2">
      <c r="A19" s="9"/>
      <c r="B19" s="10"/>
      <c r="C19" s="9"/>
      <c r="D19" s="9"/>
      <c r="E19" s="9"/>
      <c r="F19" s="1">
        <f t="shared" si="12"/>
        <v>0</v>
      </c>
      <c r="G19" s="9"/>
      <c r="H19" s="9"/>
      <c r="I19" s="1">
        <f t="shared" ref="I19" si="196">IF(H19="Bartender",(HLOOKUP(G19,MonFoodTable,6)*B19)+(HLOOKUP(G19,MonHostTable,6)*B19)+K19,SUM(K19,L19,M19))</f>
        <v>0</v>
      </c>
      <c r="J19" s="1">
        <f t="shared" ref="J19" si="197">IFERROR(IF(H19="Bartender",(HLOOKUP(G19,MonBarTable,6)*B19)+I19,C19+I19),"")</f>
        <v>0</v>
      </c>
      <c r="K19" s="7">
        <f t="shared" ref="K19" si="198">IF(H19="Server",-E19*AlcoholTipPercentage,0)+IF(H19="Bartender",HLOOKUP(G19,MonBarTable,5)*B19)</f>
        <v>0</v>
      </c>
      <c r="L19" s="7" t="str" cm="1">
        <f t="array" ref="L19">IFERROR(_xlfn.IFS(HLOOKUP(G19,MonFoodTable,2)=0,0,OR(H19="Server",H19="Bartender"),-D19*FoodTipPercentage,OR(H19="Expo",H19="Food Runner"),HLOOKUP(G19,MonFoodTable,5)*B19,H19="Host",0),"")</f>
        <v/>
      </c>
      <c r="M19" s="7" t="str" cm="1">
        <f t="array" ref="M19">IFERROR(_xlfn.IFS(HLOOKUP(G19,MonHostTable,2)=0,0,OR(H19="Server",H19="Bartender"),-F19*HostTipPercentage,H19="Host",HLOOKUP(G19,MonHostTable,5)*B19,OR(H19="Expo",H19="Food Runner"),0),"")</f>
        <v/>
      </c>
      <c r="N19" s="4"/>
      <c r="O19" s="5"/>
      <c r="P19" s="4"/>
      <c r="Q19" s="4"/>
      <c r="R19" s="4"/>
      <c r="S19" s="36">
        <f t="shared" si="16"/>
        <v>0</v>
      </c>
      <c r="T19" s="4"/>
      <c r="U19" s="4"/>
      <c r="V19" s="3">
        <f t="shared" ref="V19" si="199">IF(U19="Bartender",(HLOOKUP(T19,WedFoodTable,6)*O19)+(HLOOKUP(T19,WedHostTable,6)*O19)+X19,SUM(X19,Y19,Z19))</f>
        <v>0</v>
      </c>
      <c r="W19" s="36">
        <f t="shared" ref="W19" si="200">IFERROR(IF(U19="Bartender",(HLOOKUP(T19,WedBarTable,6)*O19)+V19,P19+V19),"")</f>
        <v>0</v>
      </c>
      <c r="X19" s="7">
        <f t="shared" ref="X19" si="201">IF(U19="Server",-R19*AlcoholTipPercentage,0)+IF(U19="Bartender",HLOOKUP(T19,WedBarTable,5)*O19)</f>
        <v>0</v>
      </c>
      <c r="Y19" s="7" t="str" cm="1">
        <f t="array" ref="Y19">IFERROR(_xlfn.IFS(HLOOKUP(T19,WedFoodTable,2)=0,0,OR(U19="Server",U19="Bartender"),-Q19*FoodTipPercentage,OR(U19="Expo",U19="Food Runner"),HLOOKUP(T19,WedFoodTable,5)*O19,U19="Host",0),"")</f>
        <v/>
      </c>
      <c r="Z19" s="7" t="str" cm="1">
        <f t="array" ref="Z19">IFERROR(_xlfn.IFS(HLOOKUP(T19,WedHostTable,2)=0,0,OR(U19="Server",U19="Bartender"),-S19*HostTipPercentage,U19="Host",HLOOKUP(T19,WedHostTable,5)*O19,OR(U19="Expo",U19="Food Runner"),0),"")</f>
        <v/>
      </c>
      <c r="AA19" s="11"/>
      <c r="AB19" s="12"/>
      <c r="AC19" s="11"/>
      <c r="AD19" s="11"/>
      <c r="AE19" s="11"/>
      <c r="AF19" s="37">
        <f t="shared" si="20"/>
        <v>0</v>
      </c>
      <c r="AG19" s="11"/>
      <c r="AH19" s="11"/>
      <c r="AI19" s="37">
        <f t="shared" ref="AI19" si="202">IF(AH19="Bartender",(HLOOKUP(AG19,FriFoodTable,6)*AB19)+(HLOOKUP(AG19,FriHostTable,6)*AB19)+AK19,SUM(AK19,AL19,AM19))</f>
        <v>0</v>
      </c>
      <c r="AJ19" s="37">
        <f t="shared" ref="AJ19" si="203">IFERROR(IF(AH19="Bartender",(HLOOKUP(AG19,FriBarTable,6)*AB19)+AI19,AC19+AI19),"")</f>
        <v>0</v>
      </c>
      <c r="AK19" s="7">
        <f t="shared" ref="AK19" si="204">IF(AH19="Server",-AE19*AlcoholTipPercentage,0)+IF(AH19="Bartender",HLOOKUP(AG19,FriBarTable,5)*AB19)</f>
        <v>0</v>
      </c>
      <c r="AL19" s="7" t="str" cm="1">
        <f t="array" ref="AL19">IFERROR(_xlfn.IFS(HLOOKUP(AG19,FriFoodTable,2)=0,0,OR(AH19="Server",AH19="Bartender"),-AD19*FoodTipPercentage,OR(AH19="Expo",AH19="Food Runner"),HLOOKUP(AG19,FriFoodTable,5)*AB19,AH19="Host",0),"")</f>
        <v/>
      </c>
      <c r="AM19" s="7" t="str" cm="1">
        <f t="array" ref="AM19">IFERROR(_xlfn.IFS(HLOOKUP(AG19,FriHostTable,2)=0,0,OR(AH19="Server",AH19="Bartender"),-AF19*HostTipPercentage,AH19="Host",HLOOKUP(AG19,FriHostTable,5)*AB19,OR(AH19="Expo",AH19="Food Runner"),0),"")</f>
        <v/>
      </c>
      <c r="AN19" s="4"/>
      <c r="AO19" s="5"/>
      <c r="AP19" s="4"/>
      <c r="AQ19" s="4"/>
      <c r="AR19" s="4"/>
      <c r="AS19" s="36">
        <f t="shared" si="24"/>
        <v>0</v>
      </c>
      <c r="AT19" s="4"/>
      <c r="AU19" s="4"/>
      <c r="AV19" s="36">
        <f t="shared" ref="AV19" si="205">IF(AU19="Bartender",(HLOOKUP(AT19,SunFoodTable,6)*AO19)+(HLOOKUP(AT19,SunHostTable,6)*AO19)+AX19,SUM(AX19,AY19,AZ19))</f>
        <v>0</v>
      </c>
      <c r="AW19" s="36">
        <f t="shared" ref="AW19" si="206">IFERROR(IF(AU19="Bartender",(HLOOKUP(AT19,SunBarTable,6)*AO19)+AV19,AP19+AV19),"")</f>
        <v>0</v>
      </c>
      <c r="AX19" s="7">
        <f t="shared" ref="AX19" si="207">IF(AU19="Server",-AR19*AlcoholTipPercentage,0)+IF(AU19="Bartender",HLOOKUP(AT19,SunBarTable,5)*AO19)</f>
        <v>0</v>
      </c>
      <c r="AY19" s="7" t="str" cm="1">
        <f t="array" ref="AY19">IFERROR(_xlfn.IFS(HLOOKUP(AT19,SunFoodTable,2)=0,0,OR(AU19="Server",AU19="Bartender"),-AQ19*FoodTipPercentage,OR(AU19="Expo",AU19="Food Runner"),HLOOKUP(AT19,SunFoodTable,5)*AO19,AU19="Host",0),"")</f>
        <v/>
      </c>
      <c r="AZ19" s="7" t="str" cm="1">
        <f t="array" ref="AZ19">IFERROR(_xlfn.IFS(HLOOKUP(AT19,SunHostTable,2)=0,0,OR(AU19="Server",AU19="Bartender"),-AS19*HostTipPercentage,AU19="Host",HLOOKUP(AT19,SunHostTable,5)*AO19,OR(AU19="Expo",AU19="Food Runner"),0),"")</f>
        <v/>
      </c>
    </row>
    <row r="20" spans="1:52" hidden="1" x14ac:dyDescent="0.2">
      <c r="A20" s="7" t="s">
        <v>15</v>
      </c>
      <c r="B20" s="13" t="s">
        <v>15</v>
      </c>
      <c r="C20" s="7" t="s">
        <v>26</v>
      </c>
      <c r="D20" s="7" t="s">
        <v>33</v>
      </c>
      <c r="E20" s="7" t="s">
        <v>30</v>
      </c>
      <c r="I20" s="7" t="s">
        <v>34</v>
      </c>
      <c r="K20" s="7">
        <f>SUM(K3:K19)</f>
        <v>0</v>
      </c>
      <c r="L20" s="7">
        <f>SUM(L3:L19)</f>
        <v>0</v>
      </c>
      <c r="M20" s="7">
        <f ca="1">SUM(M3:M19)</f>
        <v>0</v>
      </c>
      <c r="N20" s="7" t="s">
        <v>15</v>
      </c>
      <c r="O20" s="13" t="s">
        <v>15</v>
      </c>
      <c r="P20" s="7" t="s">
        <v>26</v>
      </c>
      <c r="Q20" s="7" t="s">
        <v>33</v>
      </c>
      <c r="R20" s="7" t="s">
        <v>30</v>
      </c>
      <c r="V20" s="7" t="s">
        <v>34</v>
      </c>
      <c r="X20" s="7">
        <f>SUM(X3:X19)</f>
        <v>8.8817841970012523E-16</v>
      </c>
      <c r="Y20" s="7">
        <f>SUM(Y3:Y19)</f>
        <v>0</v>
      </c>
      <c r="Z20" s="7">
        <f ca="1">SUM(Z3:Z19)</f>
        <v>0</v>
      </c>
      <c r="AA20" s="7" t="s">
        <v>15</v>
      </c>
      <c r="AB20" s="13" t="s">
        <v>15</v>
      </c>
      <c r="AC20" s="7" t="s">
        <v>26</v>
      </c>
      <c r="AD20" s="7" t="s">
        <v>33</v>
      </c>
      <c r="AE20" s="7" t="s">
        <v>30</v>
      </c>
      <c r="AI20" s="7" t="s">
        <v>34</v>
      </c>
      <c r="AK20" s="7">
        <f>SUM(AK3:AK19)</f>
        <v>-47.474999999999994</v>
      </c>
      <c r="AL20" s="7">
        <f ca="1">SUM(AL3:AL19)</f>
        <v>0</v>
      </c>
      <c r="AM20" s="7">
        <f ca="1">SUM(AM3:AM19)</f>
        <v>0</v>
      </c>
      <c r="AN20" s="7" t="s">
        <v>15</v>
      </c>
      <c r="AO20" s="13" t="s">
        <v>15</v>
      </c>
      <c r="AP20" s="7" t="s">
        <v>26</v>
      </c>
      <c r="AQ20" s="7" t="s">
        <v>33</v>
      </c>
      <c r="AR20" s="7" t="s">
        <v>30</v>
      </c>
      <c r="AV20" s="7" t="s">
        <v>34</v>
      </c>
      <c r="AX20" s="7">
        <f>SUM(AX3:AX19)</f>
        <v>-1.7763568394002505E-15</v>
      </c>
      <c r="AY20" s="7">
        <f ca="1">SUM(AY3:AY19)</f>
        <v>3.5527136788005009E-15</v>
      </c>
      <c r="AZ20" s="7">
        <f ca="1">SUM(AZ3:AZ19)</f>
        <v>0</v>
      </c>
    </row>
    <row r="21" spans="1:52" hidden="1" x14ac:dyDescent="0.2">
      <c r="A21" s="7" t="s">
        <v>14</v>
      </c>
      <c r="B21" s="13" t="s">
        <v>20</v>
      </c>
      <c r="C21" s="7" t="s">
        <v>14</v>
      </c>
      <c r="D21" s="7" t="s">
        <v>20</v>
      </c>
      <c r="E21" s="7" t="s">
        <v>14</v>
      </c>
      <c r="F21" s="7" t="s">
        <v>20</v>
      </c>
      <c r="N21" s="7" t="s">
        <v>14</v>
      </c>
      <c r="O21" s="13" t="s">
        <v>20</v>
      </c>
      <c r="P21" s="7" t="s">
        <v>14</v>
      </c>
      <c r="Q21" s="7" t="s">
        <v>20</v>
      </c>
      <c r="R21" s="7" t="s">
        <v>14</v>
      </c>
      <c r="S21" s="7" t="s">
        <v>20</v>
      </c>
      <c r="AA21" s="7" t="s">
        <v>14</v>
      </c>
      <c r="AB21" s="13" t="s">
        <v>20</v>
      </c>
      <c r="AC21" s="7" t="s">
        <v>14</v>
      </c>
      <c r="AD21" s="7" t="s">
        <v>20</v>
      </c>
      <c r="AE21" s="7" t="s">
        <v>14</v>
      </c>
      <c r="AF21" s="7" t="s">
        <v>20</v>
      </c>
      <c r="AN21" s="7" t="s">
        <v>14</v>
      </c>
      <c r="AO21" s="13" t="s">
        <v>20</v>
      </c>
      <c r="AP21" s="7" t="s">
        <v>14</v>
      </c>
      <c r="AQ21" s="7" t="s">
        <v>20</v>
      </c>
      <c r="AR21" s="7" t="s">
        <v>14</v>
      </c>
      <c r="AS21" s="7" t="s">
        <v>20</v>
      </c>
    </row>
    <row r="22" spans="1:52" hidden="1" x14ac:dyDescent="0.2">
      <c r="A22" s="7">
        <f>SUMIFS('02.26-03.03'!MonHours,'02.26-03.03'!MonAMPM,A21,'02.26-03.03'!MonJobCode,"Bartender")</f>
        <v>1</v>
      </c>
      <c r="B22" s="13">
        <f>SUMIFS('02.26-03.03'!MonHours,'02.26-03.03'!MonAMPM,B21,'02.26-03.03'!MonJobCode,"Bartender")</f>
        <v>1</v>
      </c>
      <c r="C22" s="7">
        <f>SUMIFS('02.26-03.03'!MonHours,'02.26-03.03'!MonAMPM,C21,'02.26-03.03'!MonJobCode,"Food Runner")+SUMIFS('02.26-03.03'!MonHours,'02.26-03.03'!MonAMPM,C21,'02.26-03.03'!MonJobCode,"Expo")</f>
        <v>0</v>
      </c>
      <c r="D22" s="7">
        <f>SUMIFS('02.26-03.03'!MonHours,'02.26-03.03'!MonAMPM,D21,'02.26-03.03'!MonJobCode,"Food Runner")+SUMIFS('02.26-03.03'!MonHours,'02.26-03.03'!MonAMPM,D21,'02.26-03.03'!MonJobCode,"Expo")</f>
        <v>0</v>
      </c>
      <c r="E22" s="7">
        <f>SUMIFS('02.26-03.03'!MonHours,'02.26-03.03'!MonAMPM,E21,'02.26-03.03'!MonJobCode,"Host")</f>
        <v>0</v>
      </c>
      <c r="F22" s="7">
        <f>SUMIFS('02.26-03.03'!MonHours,'02.26-03.03'!MonAMPM,F21,'02.26-03.03'!MonJobCode,"Host")</f>
        <v>0</v>
      </c>
      <c r="G22" s="7" t="s">
        <v>35</v>
      </c>
      <c r="N22" s="7">
        <f>SUMIFS('02.26-03.03'!WedHours,'02.26-03.03'!WedAMPM,N21,'02.26-03.03'!WedJobCode,"Bartender")</f>
        <v>1</v>
      </c>
      <c r="O22" s="13">
        <f>SUMIFS('02.26-03.03'!WedHours,'02.26-03.03'!WedAMPM,O21,'02.26-03.03'!WedJobCode,"Bartender")</f>
        <v>1</v>
      </c>
      <c r="P22" s="7">
        <f>SUMIFS('02.26-03.03'!WedHours,'02.26-03.03'!WedAMPM,P21,'02.26-03.03'!WedJobCode,"Food Runner")+SUMIFS('02.26-03.03'!WedHours,'02.26-03.03'!WedAMPM,P21,'02.26-03.03'!WedJobCode,"Expo")</f>
        <v>0</v>
      </c>
      <c r="Q22" s="7">
        <f>SUMIFS('02.26-03.03'!WedHours,'02.26-03.03'!WedAMPM,Q21,'02.26-03.03'!WedJobCode,"Food Runner")+SUMIFS('02.26-03.03'!WedHours,'02.26-03.03'!WedAMPM,Q21,'02.26-03.03'!WedJobCode,"Expo")</f>
        <v>0</v>
      </c>
      <c r="R22" s="7">
        <f>SUMIFS('02.26-03.03'!WedHours,'02.26-03.03'!WedAMPM,R21,'02.26-03.03'!WedJobCode,"Host")</f>
        <v>0</v>
      </c>
      <c r="S22" s="7">
        <f>SUMIFS('02.26-03.03'!WedHours,'02.26-03.03'!WedAMPM,S21,'02.26-03.03'!WedJobCode,"Host")</f>
        <v>0</v>
      </c>
      <c r="T22" s="7" t="s">
        <v>35</v>
      </c>
      <c r="AA22" s="7">
        <f>SUMIFS('02.26-03.03'!FriHours,'02.26-03.03'!FriAMPM,AA21,'02.26-03.03'!FriJobCode,"Bartender")</f>
        <v>1</v>
      </c>
      <c r="AB22" s="13">
        <f>SUMIFS('02.26-03.03'!FriHours,'02.26-03.03'!FriAMPM,AB21,'02.26-03.03'!FriJobCode,"Bartender")</f>
        <v>0</v>
      </c>
      <c r="AC22" s="7">
        <f>SUMIFS('02.26-03.03'!FriHours,'02.26-03.03'!FriAMPM,AC21,'02.26-03.03'!FriJobCode,"Food Runner")+SUMIFS('02.26-03.03'!FriHours,'02.26-03.03'!FriAMPM,AC21,'02.26-03.03'!FriJobCode,"Expo")</f>
        <v>0</v>
      </c>
      <c r="AD22" s="7">
        <f>SUMIFS('02.26-03.03'!FriHours,'02.26-03.03'!FriAMPM,AD21,'02.26-03.03'!FriJobCode,"Food Runner")+SUMIFS('02.26-03.03'!FriHours,'02.26-03.03'!FriAMPM,AD21,'02.26-03.03'!FriJobCode,"Expo")</f>
        <v>1</v>
      </c>
      <c r="AE22" s="7">
        <f>SUMIFS('02.26-03.03'!FriHours,'02.26-03.03'!FriAMPM,AE21,'02.26-03.03'!FriJobCode,"Host")</f>
        <v>0</v>
      </c>
      <c r="AF22" s="7">
        <f>SUMIFS('02.26-03.03'!FriHours,'02.26-03.03'!FriAMPM,AF21,'02.26-03.03'!FriJobCode,"Host")</f>
        <v>1</v>
      </c>
      <c r="AG22" s="7" t="s">
        <v>35</v>
      </c>
      <c r="AN22" s="7">
        <f>SUMIFS('02.26-03.03'!SunHours,'02.26-03.03'!SunAMPM,AN21,'02.26-03.03'!SunJobCode,"Bartender")</f>
        <v>1</v>
      </c>
      <c r="AO22" s="13">
        <f>SUMIFS('02.26-03.03'!SunHours,'02.26-03.03'!SunAMPM,AO21,'02.26-03.03'!SunJobCode,"Bartender")</f>
        <v>1</v>
      </c>
      <c r="AP22" s="7">
        <f>SUMIFS('02.26-03.03'!SunHours,'02.26-03.03'!SunAMPM,AP21,'02.26-03.03'!SunJobCode,"Food Runner")+SUMIFS('02.26-03.03'!SunHours,'02.26-03.03'!SunAMPM,AP21,'02.26-03.03'!SunJobCode,"Expo")</f>
        <v>1</v>
      </c>
      <c r="AQ22" s="7">
        <f>SUMIFS('02.26-03.03'!SunHours,'02.26-03.03'!SunAMPM,AQ21,'02.26-03.03'!SunJobCode,"Food Runner")+SUMIFS('02.26-03.03'!SunHours,'02.26-03.03'!SunAMPM,AQ21,'02.26-03.03'!SunJobCode,"Expo")</f>
        <v>0</v>
      </c>
      <c r="AR22" s="7">
        <f>SUMIFS('02.26-03.03'!SunHours,'02.26-03.03'!SunAMPM,AR21,'02.26-03.03'!SunJobCode,"Host")</f>
        <v>1</v>
      </c>
      <c r="AS22" s="7">
        <f>SUMIFS('02.26-03.03'!SunHours,'02.26-03.03'!SunAMPM,AS21,'02.26-03.03'!SunJobCode,"Host")</f>
        <v>0</v>
      </c>
      <c r="AT22" s="7" t="s">
        <v>35</v>
      </c>
    </row>
    <row r="23" spans="1:52" hidden="1" x14ac:dyDescent="0.2">
      <c r="A23" s="7">
        <f>SUMIFS(MonAlcTipout,'02.26-03.03'!MonAMPM,A21,'02.26-03.03'!MonJobCode,"&lt;&gt;Bartender")*-1</f>
        <v>0</v>
      </c>
      <c r="B23" s="66">
        <f>SUMIFS(MonAlcTipout,'02.26-03.03'!MonAMPM,B21,'02.26-03.03'!MonJobCode,"&lt;&gt;Bartender")*-1</f>
        <v>5.8529999999999998</v>
      </c>
      <c r="C23" s="7">
        <f>ABS(IF(C22=0,0,(SUMIFS(MonFoodTipout,'02.26-03.03'!MonAMPM,C21,'02.26-03.03'!MonJobCode,"Server")+(SUMIFS(MonFoodTipout,'02.26-03.03'!MonAMPM,C21,'02.26-03.03'!MonJobCode,"Bartender")))))</f>
        <v>0</v>
      </c>
      <c r="D23" s="7">
        <f>ABS(IF(D22=0,0,(SUMIFS(MonFoodTipout,'02.26-03.03'!MonAMPM,D21,'02.26-03.03'!MonJobCode,"Server")+(SUMIFS(MonFoodTipout,'02.26-03.03'!MonAMPM,D21,'02.26-03.03'!MonJobCode,"Bartender")))))</f>
        <v>0</v>
      </c>
      <c r="E23" s="7">
        <f ca="1">ABS(SUMIFS(MonHostTipout,'02.26-03.03'!MonAMPM,E21,'02.26-03.03'!MonJobCode,"&lt;&gt;Host"))</f>
        <v>0</v>
      </c>
      <c r="F23" s="7">
        <f ca="1">ABS(SUMIFS(MonHostTipout,'02.26-03.03'!MonAMPM,F21,'02.26-03.03'!MonJobCode,"&lt;&gt;Host"))</f>
        <v>0</v>
      </c>
      <c r="G23" s="7" t="s">
        <v>36</v>
      </c>
      <c r="N23" s="7">
        <f>SUMIFS(WedAlcTipout,'02.26-03.03'!WedAMPM,N21,'02.26-03.03'!WedJobCode,"&lt;&gt;Bartender")*-1</f>
        <v>0.06</v>
      </c>
      <c r="O23" s="66">
        <f>SUMIFS(WedAlcTipout,'02.26-03.03'!WedAMPM,O21,'02.26-03.03'!WedJobCode,"&lt;&gt;Bartender")*-1</f>
        <v>9.3659999999999997</v>
      </c>
      <c r="P23" s="7">
        <f>ABS(IF(P22=0,0,(SUMIFS(WedFoodTipout,'02.26-03.03'!WedAMPM,P21,'02.26-03.03'!WedJobCode,"Server")+(SUMIFS(WedFoodTipout,'02.26-03.03'!WedAMPM,P21,'02.26-03.03'!WedJobCode,"Bartender")))))</f>
        <v>0</v>
      </c>
      <c r="Q23" s="7">
        <f>ABS(IF(Q22=0,0,(SUMIFS(WedFoodTipout,'02.26-03.03'!WedAMPM,Q21,'02.26-03.03'!WedJobCode,"Server")+(SUMIFS(WedFoodTipout,'02.26-03.03'!WedAMPM,Q21,'02.26-03.03'!WedJobCode,"Bartender")))))</f>
        <v>0</v>
      </c>
      <c r="R23" s="7">
        <f ca="1">ABS(SUMIFS(WedHostTipout,'02.26-03.03'!WedAMPM,R21,'02.26-03.03'!WedJobCode,"&lt;&gt;Host"))</f>
        <v>0</v>
      </c>
      <c r="S23" s="7">
        <f ca="1">ABS(SUMIFS(WedHostTipout,'02.26-03.03'!WedAMPM,S21,'02.26-03.03'!WedJobCode,"&lt;&gt;Host"))</f>
        <v>0</v>
      </c>
      <c r="T23" s="7" t="s">
        <v>36</v>
      </c>
      <c r="AA23" s="7">
        <f>SUMIFS(FriAlcTipout,'02.26-03.03'!FriAMPM,AA21,'02.26-03.03'!FriJobCode,"&lt;&gt;Bartender")*-1</f>
        <v>20.978999999999999</v>
      </c>
      <c r="AB23" s="66">
        <f>SUMIFS(FriAlcTipout,'02.26-03.03'!FriAMPM,AB21,'02.26-03.03'!FriJobCode,"&lt;&gt;Bartender")*-1</f>
        <v>47.474999999999994</v>
      </c>
      <c r="AC23" s="7">
        <f>ABS(IF(AC22=0,0,(SUMIFS(FriFoodTipout,'02.26-03.03'!FriAMPM,AC21,'02.26-03.03'!FriJobCode,"Server")+(SUMIFS(FriFoodTipout,'02.26-03.03'!FriAMPM,AC21,'02.26-03.03'!FriJobCode,"Bartender")))))</f>
        <v>0</v>
      </c>
      <c r="AD23" s="7">
        <f ca="1">ABS(IF(AD22=0,0,(SUMIFS(FriFoodTipout,'02.26-03.03'!FriAMPM,AD21,'02.26-03.03'!FriJobCode,"Server")+(SUMIFS(FriFoodTipout,'02.26-03.03'!FriAMPM,AD21,'02.26-03.03'!FriJobCode,"Bartender")))))</f>
        <v>44.497599999999998</v>
      </c>
      <c r="AE23" s="7">
        <f ca="1">ABS(SUMIFS(FriHostTipout,'02.26-03.03'!FriAMPM,AE21,'02.26-03.03'!FriJobCode,"&lt;&gt;Host"))</f>
        <v>0</v>
      </c>
      <c r="AF23" s="7">
        <f ca="1">ABS(SUMIFS(FriHostTipout,'02.26-03.03'!FriAMPM,AF21,'02.26-03.03'!FriJobCode,"&lt;&gt;Host"))</f>
        <v>38.073799999999999</v>
      </c>
      <c r="AG23" s="7" t="s">
        <v>36</v>
      </c>
      <c r="AN23" s="7">
        <f>SUMIFS(SunAlcTipout,'02.26-03.03'!SunAMPM,AN21,'02.26-03.03'!SunJobCode,"&lt;&gt;Bartender")*-1</f>
        <v>10.430999999999999</v>
      </c>
      <c r="AO23" s="66">
        <f>SUMIFS(SunAlcTipout,'02.26-03.03'!SunAMPM,AO21,'02.26-03.03'!SunJobCode,"&lt;&gt;Bartender")*-1</f>
        <v>9.861600000000001</v>
      </c>
      <c r="AP23" s="7">
        <f ca="1">ABS(IF(AP22=0,0,(SUMIFS(SunFoodTipout,'02.26-03.03'!SunAMPM,AP21,'02.26-03.03'!SunJobCode,"Server")+(SUMIFS(SunFoodTipout,'02.26-03.03'!SunAMPM,AP21,'02.26-03.03'!SunJobCode,"Bartender")))))</f>
        <v>27.190000000000005</v>
      </c>
      <c r="AQ23" s="7">
        <f>ABS(IF(AQ22=0,0,(SUMIFS(SunFoodTipout,'02.26-03.03'!SunAMPM,AQ21,'02.26-03.03'!SunJobCode,"Server")+(SUMIFS(SunFoodTipout,'02.26-03.03'!SunAMPM,AQ21,'02.26-03.03'!SunJobCode,"Bartender")))))</f>
        <v>0</v>
      </c>
      <c r="AR23" s="7">
        <f ca="1">ABS(SUMIFS(SunHostTipout,'02.26-03.03'!SunAMPM,AR21,'02.26-03.03'!SunJobCode,"&lt;&gt;Host"))</f>
        <v>20.127000000000002</v>
      </c>
      <c r="AS23" s="7">
        <f ca="1">ABS(SUMIFS(SunHostTipout,'02.26-03.03'!SunAMPM,AS21,'02.26-03.03'!SunJobCode,"&lt;&gt;Host"))</f>
        <v>0</v>
      </c>
      <c r="AT23" s="7" t="s">
        <v>36</v>
      </c>
    </row>
    <row r="24" spans="1:52" hidden="1" x14ac:dyDescent="0.2">
      <c r="A24" s="66">
        <f>SUMIFS('02.26-03.03'!MonTips,'02.26-03.03'!MonAMPM,A21,'02.26-03.03'!MonJobCode,A20)</f>
        <v>250.63</v>
      </c>
      <c r="B24" s="66">
        <f>SUMIFS('02.26-03.03'!MonTips,'02.26-03.03'!MonAMPM,B21,'02.26-03.03'!MonJobCode,B20)</f>
        <v>167.43</v>
      </c>
      <c r="C24" s="7">
        <f>SUMIFS(MonFoodTipout,'02.26-03.03'!MonAMPM,C21,'02.26-03.03'!MonJobCode,"Bartender")</f>
        <v>0</v>
      </c>
      <c r="D24" s="7">
        <f>SUMIFS(MonFoodTipout,'02.26-03.03'!MonAMPM,D21,'02.26-03.03'!MonJobCode,"Bartender")</f>
        <v>0</v>
      </c>
      <c r="E24" s="7">
        <f ca="1">SUMIFS(MonHostTipout,'02.26-03.03'!MonJobCode,"Bartender",'02.26-03.03'!MonAMPM,E21)</f>
        <v>0</v>
      </c>
      <c r="F24" s="7">
        <f ca="1">SUMIFS(MonHostTipout,'02.26-03.03'!MonJobCode,"Bartender",'02.26-03.03'!MonAMPM,F21)</f>
        <v>0</v>
      </c>
      <c r="G24" s="7" t="s">
        <v>37</v>
      </c>
      <c r="N24" s="66">
        <f>SUMIFS('02.26-03.03'!WedTips,'02.26-03.03'!WedAMPM,N21,'02.26-03.03'!WedJobCode,N20)</f>
        <v>39.69</v>
      </c>
      <c r="O24" s="66">
        <f>SUMIFS('02.26-03.03'!WedTips,'02.26-03.03'!WedAMPM,O21,'02.26-03.03'!WedJobCode,O20)</f>
        <v>134.06</v>
      </c>
      <c r="P24" s="7">
        <f>SUMIFS(WedFoodTipout,'02.26-03.03'!WedAMPM,P21,'02.26-03.03'!WedJobCode,"Bartender")</f>
        <v>0</v>
      </c>
      <c r="Q24" s="7">
        <f>SUMIFS(WedFoodTipout,'02.26-03.03'!WedAMPM,Q21,'02.26-03.03'!WedJobCode,"Bartender")</f>
        <v>0</v>
      </c>
      <c r="R24" s="7">
        <f ca="1">SUMIFS(WedHostTipout,'02.26-03.03'!WedJobCode,"Bartender",'02.26-03.03'!WedAMPM,R21)</f>
        <v>0</v>
      </c>
      <c r="S24" s="7">
        <f ca="1">SUMIFS(WedHostTipout,'02.26-03.03'!WedJobCode,"Bartender",'02.26-03.03'!WedAMPM,S21)</f>
        <v>0</v>
      </c>
      <c r="T24" s="7" t="s">
        <v>37</v>
      </c>
      <c r="AA24" s="66">
        <f>SUMIFS('02.26-03.03'!FriTips,'02.26-03.03'!FriAMPM,AA21,'02.26-03.03'!FriJobCode,AA20)</f>
        <v>281.93</v>
      </c>
      <c r="AB24" s="66">
        <f>SUMIFS('02.26-03.03'!FriTips,'02.26-03.03'!FriAMPM,AB21,'02.26-03.03'!FriJobCode,AB20)</f>
        <v>0</v>
      </c>
      <c r="AC24" s="7">
        <f>SUMIFS(FriFoodTipout,'02.26-03.03'!FriAMPM,AC21,'02.26-03.03'!FriJobCode,"Bartender")</f>
        <v>0</v>
      </c>
      <c r="AD24" s="7">
        <f>SUMIFS(FriFoodTipout,'02.26-03.03'!FriAMPM,AD21,'02.26-03.03'!FriJobCode,"Bartender")</f>
        <v>0</v>
      </c>
      <c r="AE24" s="7">
        <f ca="1">SUMIFS(FriHostTipout,'02.26-03.03'!FriJobCode,"Bartender",'02.26-03.03'!FriAMPM,AE21)</f>
        <v>0</v>
      </c>
      <c r="AF24" s="7">
        <f>SUMIFS(FriHostTipout,'02.26-03.03'!FriJobCode,"Bartender",'02.26-03.03'!FriAMPM,AF21)</f>
        <v>0</v>
      </c>
      <c r="AG24" s="7" t="s">
        <v>37</v>
      </c>
      <c r="AN24" s="66">
        <f>SUMIFS('02.26-03.03'!SunTips,'02.26-03.03'!SunAMPM,AN21,'02.26-03.03'!SunJobCode,AN20)</f>
        <v>253.49</v>
      </c>
      <c r="AO24" s="66">
        <f>SUMIFS('02.26-03.03'!SunTips,'02.26-03.03'!SunAMPM,AO21,'02.26-03.03'!SunJobCode,AO20)</f>
        <v>121.78</v>
      </c>
      <c r="AP24" s="7">
        <f ca="1">SUMIFS(SunFoodTipout,'02.26-03.03'!SunAMPM,AP21,'02.26-03.03'!SunJobCode,"Bartender")</f>
        <v>-8.81</v>
      </c>
      <c r="AQ24" s="7">
        <f>SUMIFS(SunFoodTipout,'02.26-03.03'!SunAMPM,AQ21,'02.26-03.03'!SunJobCode,"Bartender")</f>
        <v>0</v>
      </c>
      <c r="AR24" s="7">
        <f ca="1">SUMIFS(SunHostTipout,'02.26-03.03'!SunJobCode,"Bartender",'02.26-03.03'!SunAMPM,AR21)</f>
        <v>-7.46</v>
      </c>
      <c r="AS24" s="7">
        <f ca="1">SUMIFS(SunHostTipout,'02.26-03.03'!SunJobCode,"Bartender",'02.26-03.03'!SunAMPM,AS21)</f>
        <v>0</v>
      </c>
      <c r="AT24" s="7" t="s">
        <v>37</v>
      </c>
    </row>
    <row r="25" spans="1:52" hidden="1" x14ac:dyDescent="0.2">
      <c r="A25" s="7">
        <f>A23/A22</f>
        <v>0</v>
      </c>
      <c r="B25" s="13">
        <f>B23/B22</f>
        <v>5.8529999999999998</v>
      </c>
      <c r="C25" s="7">
        <f>IFERROR(C23/C22,0)</f>
        <v>0</v>
      </c>
      <c r="D25" s="7">
        <f>IFERROR(D23/D22,0)</f>
        <v>0</v>
      </c>
      <c r="E25" s="7">
        <f ca="1">IFERROR(E23/E22,0)</f>
        <v>0</v>
      </c>
      <c r="F25" s="7">
        <f ca="1">IFERROR(F23/F22,0)</f>
        <v>0</v>
      </c>
      <c r="G25" s="7" t="s">
        <v>38</v>
      </c>
      <c r="N25" s="7">
        <f>N23/N22</f>
        <v>0.06</v>
      </c>
      <c r="O25" s="13">
        <f>O23/O22</f>
        <v>9.3659999999999997</v>
      </c>
      <c r="P25" s="7">
        <f>IFERROR(P23/P22,0)</f>
        <v>0</v>
      </c>
      <c r="Q25" s="7">
        <f>IFERROR(Q23/Q22,0)</f>
        <v>0</v>
      </c>
      <c r="R25" s="7">
        <f ca="1">IFERROR(R23/R22,0)</f>
        <v>0</v>
      </c>
      <c r="S25" s="7">
        <f ca="1">IFERROR(S23/S22,0)</f>
        <v>0</v>
      </c>
      <c r="T25" s="7" t="s">
        <v>38</v>
      </c>
      <c r="AA25" s="7">
        <f>AA23/AA22</f>
        <v>20.978999999999999</v>
      </c>
      <c r="AB25" s="13" t="e">
        <f>AB23/AB22</f>
        <v>#DIV/0!</v>
      </c>
      <c r="AC25" s="7">
        <f>IFERROR(AC23/AC22,0)</f>
        <v>0</v>
      </c>
      <c r="AD25" s="7">
        <f ca="1">IFERROR(AD23/AD22,0)</f>
        <v>44.497599999999998</v>
      </c>
      <c r="AE25" s="7">
        <f ca="1">IFERROR(AE23/AE22,0)</f>
        <v>0</v>
      </c>
      <c r="AF25" s="7">
        <f ca="1">IFERROR(AF23/AF22,0)</f>
        <v>38.073799999999999</v>
      </c>
      <c r="AG25" s="7" t="s">
        <v>38</v>
      </c>
      <c r="AN25" s="7">
        <f>AN23/AN22</f>
        <v>10.430999999999999</v>
      </c>
      <c r="AO25" s="13">
        <f>AO23/AO22</f>
        <v>9.861600000000001</v>
      </c>
      <c r="AP25" s="7">
        <f ca="1">IFERROR(AP23/AP22,0)</f>
        <v>27.190000000000005</v>
      </c>
      <c r="AQ25" s="7">
        <f>IFERROR(AQ23/AQ22,0)</f>
        <v>0</v>
      </c>
      <c r="AR25" s="7">
        <f ca="1">IFERROR(AR23/AR22,0)</f>
        <v>20.127000000000002</v>
      </c>
      <c r="AS25" s="7">
        <f ca="1">IFERROR(AS23/AS22,0)</f>
        <v>0</v>
      </c>
      <c r="AT25" s="7" t="s">
        <v>38</v>
      </c>
    </row>
    <row r="26" spans="1:52" hidden="1" x14ac:dyDescent="0.2">
      <c r="A26" s="7">
        <f>A24/A22</f>
        <v>250.63</v>
      </c>
      <c r="B26" s="13">
        <f>B24/B22</f>
        <v>167.43</v>
      </c>
      <c r="C26" s="7">
        <f>C24/A22</f>
        <v>0</v>
      </c>
      <c r="D26" s="7">
        <f>D24/B22</f>
        <v>0</v>
      </c>
      <c r="E26" s="7">
        <f ca="1">E24/A22</f>
        <v>0</v>
      </c>
      <c r="F26" s="7">
        <f ca="1">F24/B22</f>
        <v>0</v>
      </c>
      <c r="G26" s="7" t="s">
        <v>39</v>
      </c>
      <c r="N26" s="7">
        <f>N24/N22</f>
        <v>39.69</v>
      </c>
      <c r="O26" s="13">
        <f>O24/O22</f>
        <v>134.06</v>
      </c>
      <c r="P26" s="7">
        <f>P24/N22</f>
        <v>0</v>
      </c>
      <c r="Q26" s="7">
        <f>Q24/O22</f>
        <v>0</v>
      </c>
      <c r="R26" s="7">
        <f ca="1">R24/N22</f>
        <v>0</v>
      </c>
      <c r="S26" s="7">
        <f ca="1">S24/O22</f>
        <v>0</v>
      </c>
      <c r="T26" s="7" t="s">
        <v>39</v>
      </c>
      <c r="AA26" s="7">
        <f>AA24/AA22</f>
        <v>281.93</v>
      </c>
      <c r="AB26" s="13" t="e">
        <f>AB24/AB22</f>
        <v>#DIV/0!</v>
      </c>
      <c r="AC26" s="7">
        <f>AC24/AA22</f>
        <v>0</v>
      </c>
      <c r="AD26" s="7" t="e">
        <f>AD24/AB22</f>
        <v>#DIV/0!</v>
      </c>
      <c r="AE26" s="7">
        <f ca="1">AE24/AA22</f>
        <v>0</v>
      </c>
      <c r="AF26" s="7" t="e">
        <f>AF24/AB22</f>
        <v>#DIV/0!</v>
      </c>
      <c r="AG26" s="7" t="s">
        <v>39</v>
      </c>
      <c r="AN26" s="7">
        <f>AN24/AN22</f>
        <v>253.49</v>
      </c>
      <c r="AO26" s="13">
        <f>AO24/AO22</f>
        <v>121.78</v>
      </c>
      <c r="AP26" s="7">
        <f ca="1">AP24/AN22</f>
        <v>-8.81</v>
      </c>
      <c r="AQ26" s="7">
        <f>AQ24/AO22</f>
        <v>0</v>
      </c>
      <c r="AR26" s="7">
        <f ca="1">AR24/AN22</f>
        <v>-7.46</v>
      </c>
      <c r="AS26" s="7">
        <f ca="1">AS24/AO22</f>
        <v>0</v>
      </c>
      <c r="AT26" s="7" t="s">
        <v>39</v>
      </c>
    </row>
    <row r="27" spans="1:52" ht="21" x14ac:dyDescent="0.25">
      <c r="A27" s="69">
        <f>A1+1</f>
        <v>45349</v>
      </c>
      <c r="B27" s="81" t="str">
        <f>TEXT(A27,"DDDD")</f>
        <v>Tuesday</v>
      </c>
      <c r="C27" s="82"/>
      <c r="D27" s="82"/>
      <c r="E27" s="82"/>
      <c r="F27" s="82"/>
      <c r="G27" s="82"/>
      <c r="H27" s="82"/>
      <c r="I27" s="82"/>
      <c r="J27" s="83"/>
      <c r="K27" s="6">
        <v>0.03</v>
      </c>
      <c r="L27" s="6">
        <v>0.02</v>
      </c>
      <c r="M27" s="6">
        <v>0.01</v>
      </c>
      <c r="N27" s="70">
        <f>A1+3</f>
        <v>45351</v>
      </c>
      <c r="O27" s="84" t="str">
        <f>TEXT(N27,"DDDD")</f>
        <v>Thursday</v>
      </c>
      <c r="P27" s="85"/>
      <c r="Q27" s="85"/>
      <c r="R27" s="85"/>
      <c r="S27" s="85"/>
      <c r="T27" s="85"/>
      <c r="U27" s="85"/>
      <c r="V27" s="85"/>
      <c r="W27" s="86"/>
      <c r="X27" s="6">
        <v>0.03</v>
      </c>
      <c r="Y27" s="6">
        <v>0.02</v>
      </c>
      <c r="Z27" s="6">
        <v>0.01</v>
      </c>
      <c r="AA27" s="71">
        <f>A1+5</f>
        <v>45353</v>
      </c>
      <c r="AB27" s="75" t="str">
        <f>TEXT(AA27,"DDDD")</f>
        <v>Saturday</v>
      </c>
      <c r="AC27" s="76"/>
      <c r="AD27" s="76"/>
      <c r="AE27" s="76"/>
      <c r="AF27" s="76"/>
      <c r="AG27" s="76"/>
      <c r="AH27" s="76"/>
      <c r="AI27" s="76"/>
      <c r="AJ27" s="77"/>
      <c r="AK27" s="6">
        <v>0.03</v>
      </c>
      <c r="AL27" s="6">
        <v>0.02</v>
      </c>
      <c r="AM27" s="6">
        <v>0.01</v>
      </c>
      <c r="AN27" s="87" t="s">
        <v>40</v>
      </c>
      <c r="AO27" s="87"/>
      <c r="AP27" s="87"/>
      <c r="AQ27" s="87"/>
      <c r="AR27" s="87"/>
      <c r="AS27" s="87"/>
      <c r="AT27" s="87"/>
      <c r="AU27" s="87"/>
    </row>
    <row r="28" spans="1:52" ht="19" x14ac:dyDescent="0.25">
      <c r="A28" s="33" t="s">
        <v>0</v>
      </c>
      <c r="B28" s="34" t="s">
        <v>1</v>
      </c>
      <c r="C28" s="33" t="s">
        <v>2</v>
      </c>
      <c r="D28" s="33" t="s">
        <v>3</v>
      </c>
      <c r="E28" s="33" t="s">
        <v>4</v>
      </c>
      <c r="F28" s="33" t="s">
        <v>5</v>
      </c>
      <c r="G28" s="35" t="s">
        <v>6</v>
      </c>
      <c r="H28" s="33" t="s">
        <v>7</v>
      </c>
      <c r="I28" s="33" t="s">
        <v>8</v>
      </c>
      <c r="J28" s="33" t="s">
        <v>9</v>
      </c>
      <c r="K28" s="7" t="s">
        <v>10</v>
      </c>
      <c r="L28" s="7" t="s">
        <v>11</v>
      </c>
      <c r="M28" s="7" t="s">
        <v>12</v>
      </c>
      <c r="N28" s="39" t="s">
        <v>0</v>
      </c>
      <c r="O28" s="40" t="s">
        <v>1</v>
      </c>
      <c r="P28" s="39" t="s">
        <v>2</v>
      </c>
      <c r="Q28" s="39" t="s">
        <v>3</v>
      </c>
      <c r="R28" s="39" t="s">
        <v>4</v>
      </c>
      <c r="S28" s="39" t="s">
        <v>5</v>
      </c>
      <c r="T28" s="41" t="s">
        <v>6</v>
      </c>
      <c r="U28" s="39" t="s">
        <v>7</v>
      </c>
      <c r="V28" s="39" t="s">
        <v>8</v>
      </c>
      <c r="W28" s="39" t="s">
        <v>9</v>
      </c>
      <c r="X28" s="7" t="s">
        <v>10</v>
      </c>
      <c r="Y28" s="7" t="s">
        <v>11</v>
      </c>
      <c r="Z28" s="7" t="s">
        <v>12</v>
      </c>
      <c r="AA28" s="26" t="s">
        <v>0</v>
      </c>
      <c r="AB28" s="27" t="s">
        <v>1</v>
      </c>
      <c r="AC28" s="26" t="s">
        <v>2</v>
      </c>
      <c r="AD28" s="26" t="s">
        <v>3</v>
      </c>
      <c r="AE28" s="26" t="s">
        <v>4</v>
      </c>
      <c r="AF28" s="26" t="s">
        <v>5</v>
      </c>
      <c r="AG28" s="28" t="s">
        <v>6</v>
      </c>
      <c r="AH28" s="26" t="s">
        <v>7</v>
      </c>
      <c r="AI28" s="26" t="s">
        <v>8</v>
      </c>
      <c r="AJ28" s="26" t="s">
        <v>9</v>
      </c>
      <c r="AK28" s="7" t="s">
        <v>10</v>
      </c>
      <c r="AL28" s="7" t="s">
        <v>11</v>
      </c>
      <c r="AM28" s="7" t="s">
        <v>12</v>
      </c>
      <c r="AN28" s="14" t="s">
        <v>0</v>
      </c>
      <c r="AO28" s="15" t="s">
        <v>1</v>
      </c>
      <c r="AP28" s="14" t="s">
        <v>41</v>
      </c>
      <c r="AQ28" s="14" t="s">
        <v>42</v>
      </c>
      <c r="AR28" s="14" t="s">
        <v>3</v>
      </c>
      <c r="AS28" s="14" t="s">
        <v>4</v>
      </c>
      <c r="AT28" s="14" t="s">
        <v>5</v>
      </c>
      <c r="AU28" s="14" t="s">
        <v>43</v>
      </c>
    </row>
    <row r="29" spans="1:52" ht="16" x14ac:dyDescent="0.2">
      <c r="A29" s="11" t="s">
        <v>21</v>
      </c>
      <c r="B29" s="12">
        <v>1</v>
      </c>
      <c r="C29" s="11">
        <v>35.21</v>
      </c>
      <c r="D29" s="11">
        <v>69</v>
      </c>
      <c r="E29" s="11">
        <v>57</v>
      </c>
      <c r="F29" s="2">
        <f>D29+E29</f>
        <v>126</v>
      </c>
      <c r="G29" s="11" t="s">
        <v>14</v>
      </c>
      <c r="H29" s="11" t="s">
        <v>15</v>
      </c>
      <c r="I29" s="2">
        <f t="shared" ref="I29" ca="1" si="208">IF(H29="Bartender",(HLOOKUP(G29,TuesFoodTable,6)*B29)+(HLOOKUP(G29,TuesHostTable,6)*B29)+K29,SUM(K29,L29,M29))</f>
        <v>1.17</v>
      </c>
      <c r="J29" s="2">
        <f t="shared" ref="J29" ca="1" si="209">IFERROR(IF(H29="Bartender",(HLOOKUP(G29,TuesBarTable,6)*B29)+I29,C29+I29),"")</f>
        <v>36.380000000000003</v>
      </c>
      <c r="K29" s="7">
        <f t="shared" ref="K29" si="210">IF(H29="Server",-E29*AlcoholTipPercentage,0)+IF(H29="Bartender",HLOOKUP(G29,TuesBarTable,5)*B29)</f>
        <v>1.17</v>
      </c>
      <c r="L29" s="7" cm="1">
        <f t="array" ref="L29">IFERROR(_xlfn.IFS(HLOOKUP(G29,TuesFoodTable,2)=0,0,OR(H29="Server",H29="Bartender"),-D29*FoodTipPercentage,OR(H29="Expo",H29="Food Runner"),HLOOKUP(G29,TuesFoodTable,5)*B29,H29="Host",0),"")</f>
        <v>0</v>
      </c>
      <c r="M29" s="7" cm="1">
        <f t="array" aca="1" ref="M29" ca="1">IFERROR(_xlfn.IFS(HLOOKUP(G29,TuesHostTable,2)=0,0,OR(H29="Server",H29="Bartender"),-F29*HostTipPercentage,H29="Host",HLOOKUP(G29,TuesHostTable,5)*B29,OR(H29="Expo",H29="Food Runner"),0),"")</f>
        <v>0</v>
      </c>
      <c r="N29" s="16" t="s">
        <v>13</v>
      </c>
      <c r="O29" s="17">
        <v>1</v>
      </c>
      <c r="P29" s="16">
        <v>102.6</v>
      </c>
      <c r="Q29" s="16">
        <v>152</v>
      </c>
      <c r="R29" s="16">
        <v>93</v>
      </c>
      <c r="S29" s="42">
        <f>Q29+R29</f>
        <v>245</v>
      </c>
      <c r="T29" s="16" t="s">
        <v>14</v>
      </c>
      <c r="U29" s="16" t="s">
        <v>15</v>
      </c>
      <c r="V29" s="42">
        <f t="shared" ref="V29" ca="1" si="211">IF(U29="Bartender",(HLOOKUP(T29,ThursFoodTable,6)*O29)+(HLOOKUP(T29,ThursHostTable,6)*O29)+X29,SUM(X29,Y29,Z29))</f>
        <v>0</v>
      </c>
      <c r="W29" s="42">
        <f t="shared" ref="W29" ca="1" si="212">IFERROR(IF(U29="Bartender",(HLOOKUP(T29,ThursBarTable,6)*O29)+V29,P29+V29),"")</f>
        <v>102.6</v>
      </c>
      <c r="X29" s="7">
        <f t="shared" ref="X29" si="213">IF(U29="Server",-R29*AlcoholTipPercentage,0)+IF(U29="Bartender",HLOOKUP(T29,ThursBarTable,5)*O29)</f>
        <v>0</v>
      </c>
      <c r="Y29" s="7" cm="1">
        <f t="array" ref="Y29">IFERROR(_xlfn.IFS(HLOOKUP(T29,ThursFoodTable,2)=0,0,OR(U29="Server",U29="Bartender"),-Q29*FoodTipPercentage,OR(U29="Expo",U29="Food Runner"),HLOOKUP(T29,ThursFoodTable,5)*O29,U29="Host",0),"")</f>
        <v>0</v>
      </c>
      <c r="Z29" s="7" cm="1">
        <f t="array" aca="1" ref="Z29" ca="1">IFERROR(_xlfn.IFS(HLOOKUP(T29,ThursHostTable,2)=0,0,OR(U29="Server",U29="Bartender"),-S29*HostTipPercentage,U29="Host",HLOOKUP(T29,ThursHostTable,5)*O29,OR(U29="Expo",U29="Food Runner"),0),"")</f>
        <v>0</v>
      </c>
      <c r="AA29" s="9" t="s">
        <v>17</v>
      </c>
      <c r="AB29" s="10">
        <v>1</v>
      </c>
      <c r="AC29" s="9">
        <v>437.5</v>
      </c>
      <c r="AD29" s="9">
        <v>1061</v>
      </c>
      <c r="AE29" s="9">
        <v>865.9</v>
      </c>
      <c r="AF29" s="38">
        <f>AD29+AE29</f>
        <v>1926.9</v>
      </c>
      <c r="AG29" s="9" t="s">
        <v>14</v>
      </c>
      <c r="AH29" s="9" t="s">
        <v>15</v>
      </c>
      <c r="AI29" s="38">
        <f t="shared" ref="AI29" ca="1" si="214">IF(AH29="Bartender",(HLOOKUP(AG29,SatFoodTable,6)*AB29)+(HLOOKUP(AG29,SatHostTable,6)*AB29)+AK29,SUM(AK29,AL29,AM29))</f>
        <v>21.865499999999994</v>
      </c>
      <c r="AJ29" s="38">
        <f t="shared" ref="AJ29" ca="1" si="215">IFERROR(IF(AH29="Bartender",(HLOOKUP(AG29,SatBarTable,6)*AB29)+AI29,AC29+AI29),"")</f>
        <v>459.3655</v>
      </c>
      <c r="AK29" s="7">
        <f t="shared" ref="AK29" si="216">IF(AH29="Server",-AE29*AlcoholTipPercentage,0)+IF(AH29="Bartender",HLOOKUP(AG29,SatBarTable,5)*AB29)</f>
        <v>41.134499999999996</v>
      </c>
      <c r="AL29" s="7" cm="1">
        <f t="array" ref="AL29">IFERROR(_xlfn.IFS(HLOOKUP(AG29,SatFoodTable,2)=0,0,OR(AH29="Server",AH29="Bartender"),-AD29*FoodTipPercentage,OR(AH29="Expo",AH29="Food Runner"),HLOOKUP(AG29,SatFoodTable,5)*AB29,AH29="Host",0),"")</f>
        <v>0</v>
      </c>
      <c r="AM29" s="7" cm="1">
        <f t="array" aca="1" ref="AM29" ca="1">IFERROR(_xlfn.IFS(HLOOKUP(AG29,SatHostTable,2)=0,0,OR(AH29="Server",AH29="Bartender"),-AF29*HostTipPercentage,AH29="Host",HLOOKUP(AG29,SatHostTable,5)*AB29,OR(AH29="Expo",AH29="Food Runner"),0),"")</f>
        <v>-19.269000000000002</v>
      </c>
      <c r="AN29" s="18" t="s">
        <v>17</v>
      </c>
      <c r="AO29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5</v>
      </c>
      <c r="AP29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1429.1043</v>
      </c>
      <c r="AQ29" s="7">
        <f ca="1">IFERROR(Table424789101112131418212325272326[[#This Row],[Weekly Tips]]/Table424789101112131418212325272326[[#This Row],[Hours]],0)</f>
        <v>285.82085999999998</v>
      </c>
      <c r="AR29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2556.5</v>
      </c>
      <c r="AS29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2233.17</v>
      </c>
      <c r="AT29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4789.67</v>
      </c>
    </row>
    <row r="30" spans="1:52" ht="16" x14ac:dyDescent="0.2">
      <c r="A30" s="11" t="s">
        <v>22</v>
      </c>
      <c r="B30" s="12">
        <v>1</v>
      </c>
      <c r="C30" s="11">
        <v>170.53</v>
      </c>
      <c r="D30" s="11">
        <v>70</v>
      </c>
      <c r="E30" s="11">
        <v>39</v>
      </c>
      <c r="F30" s="2">
        <f t="shared" ref="F30:F45" si="217">E30+D30</f>
        <v>109</v>
      </c>
      <c r="G30" s="11" t="s">
        <v>14</v>
      </c>
      <c r="H30" s="11" t="s">
        <v>18</v>
      </c>
      <c r="I30" s="2">
        <f t="shared" ref="I30" ca="1" si="218">IF(H30="Bartender",(HLOOKUP(G30,TuesFoodTable,6)*B30)+(HLOOKUP(G30,TuesHostTable,6)*B30)+K30,SUM(K30,L30,M30))</f>
        <v>-1.17</v>
      </c>
      <c r="J30" s="2">
        <f t="shared" ref="J30" ca="1" si="219">IFERROR(IF(H30="Bartender",(HLOOKUP(G30,TuesBarTable,6)*B30)+I30,C30+I30),"")</f>
        <v>169.36</v>
      </c>
      <c r="K30" s="7">
        <f t="shared" ref="K30" si="220">IF(H30="Server",-E30*AlcoholTipPercentage,0)+IF(H30="Bartender",HLOOKUP(G30,TuesBarTable,5)*B30)</f>
        <v>-1.17</v>
      </c>
      <c r="L30" s="7" cm="1">
        <f t="array" ref="L30">IFERROR(_xlfn.IFS(HLOOKUP(G30,TuesFoodTable,2)=0,0,OR(H30="Server",H30="Bartender"),-D30*FoodTipPercentage,OR(H30="Expo",H30="Food Runner"),HLOOKUP(G30,TuesFoodTable,5)*B30,H30="Host",0),"")</f>
        <v>0</v>
      </c>
      <c r="M30" s="7" cm="1">
        <f t="array" aca="1" ref="M30" ca="1">IFERROR(_xlfn.IFS(HLOOKUP(G30,TuesHostTable,2)=0,0,OR(H30="Server",H30="Bartender"),-F30*HostTipPercentage,H30="Host",HLOOKUP(G30,TuesHostTable,5)*B30,OR(H30="Expo",H30="Food Runner"),0),"")</f>
        <v>0</v>
      </c>
      <c r="N30" s="16" t="s">
        <v>24</v>
      </c>
      <c r="O30" s="17">
        <v>1</v>
      </c>
      <c r="P30" s="16">
        <v>167.81</v>
      </c>
      <c r="Q30" s="16">
        <v>297</v>
      </c>
      <c r="R30" s="16">
        <v>93.58</v>
      </c>
      <c r="S30" s="42">
        <f t="shared" ref="S30:S45" si="221">R30+Q30</f>
        <v>390.58</v>
      </c>
      <c r="T30" s="16" t="s">
        <v>20</v>
      </c>
      <c r="U30" s="16" t="s">
        <v>18</v>
      </c>
      <c r="V30" s="42">
        <f t="shared" ref="V30" ca="1" si="222">IF(U30="Bartender",(HLOOKUP(T30,ThursFoodTable,6)*O30)+(HLOOKUP(T30,ThursHostTable,6)*O30)+X30,SUM(X30,Y30,Z30))</f>
        <v>-2.8073999999999999</v>
      </c>
      <c r="W30" s="42">
        <f t="shared" ref="W30" ca="1" si="223">IFERROR(IF(U30="Bartender",(HLOOKUP(T30,ThursBarTable,6)*O30)+V30,P30+V30),"")</f>
        <v>165.0026</v>
      </c>
      <c r="X30" s="7">
        <f t="shared" ref="X30" si="224">IF(U30="Server",-R30*AlcoholTipPercentage,0)+IF(U30="Bartender",HLOOKUP(T30,ThursBarTable,5)*O30)</f>
        <v>-2.8073999999999999</v>
      </c>
      <c r="Y30" s="7" cm="1">
        <f t="array" ref="Y30">IFERROR(_xlfn.IFS(HLOOKUP(T30,ThursFoodTable,2)=0,0,OR(U30="Server",U30="Bartender"),-Q30*FoodTipPercentage,OR(U30="Expo",U30="Food Runner"),HLOOKUP(T30,ThursFoodTable,5)*O30,U30="Host",0),"")</f>
        <v>0</v>
      </c>
      <c r="Z30" s="7" cm="1">
        <f t="array" aca="1" ref="Z30" ca="1">IFERROR(_xlfn.IFS(HLOOKUP(T30,ThursHostTable,2)=0,0,OR(U30="Server",U30="Bartender"),-S30*HostTipPercentage,U30="Host",HLOOKUP(T30,ThursHostTable,5)*O30,OR(U30="Expo",U30="Food Runner"),0),"")</f>
        <v>0</v>
      </c>
      <c r="AA30" s="9" t="s">
        <v>23</v>
      </c>
      <c r="AB30" s="10">
        <v>1</v>
      </c>
      <c r="AC30" s="9">
        <v>398</v>
      </c>
      <c r="AD30" s="9">
        <v>507</v>
      </c>
      <c r="AE30" s="9">
        <v>418.25</v>
      </c>
      <c r="AF30" s="38">
        <f t="shared" ref="AF30:AF45" si="225">AE30+AD30</f>
        <v>925.25</v>
      </c>
      <c r="AG30" s="9" t="s">
        <v>14</v>
      </c>
      <c r="AH30" s="9" t="s">
        <v>18</v>
      </c>
      <c r="AI30" s="38">
        <f t="shared" ref="AI30" ca="1" si="226">IF(AH30="Bartender",(HLOOKUP(AG30,SatFoodTable,6)*AB30)+(HLOOKUP(AG30,SatHostTable,6)*AB30)+AK30,SUM(AK30,AL30,AM30))</f>
        <v>-21.799999999999997</v>
      </c>
      <c r="AJ30" s="38">
        <f t="shared" ref="AJ30" ca="1" si="227">IFERROR(IF(AH30="Bartender",(HLOOKUP(AG30,SatBarTable,6)*AB30)+AI30,AC30+AI30),"")</f>
        <v>376.2</v>
      </c>
      <c r="AK30" s="7">
        <f t="shared" ref="AK30" si="228">IF(AH30="Server",-AE30*AlcoholTipPercentage,0)+IF(AH30="Bartender",HLOOKUP(AG30,SatBarTable,5)*AB30)</f>
        <v>-12.547499999999999</v>
      </c>
      <c r="AL30" s="7" cm="1">
        <f t="array" ref="AL30">IFERROR(_xlfn.IFS(HLOOKUP(AG30,SatFoodTable,2)=0,0,OR(AH30="Server",AH30="Bartender"),-AD30*FoodTipPercentage,OR(AH30="Expo",AH30="Food Runner"),HLOOKUP(AG30,SatFoodTable,5)*AB30,AH30="Host",0),"")</f>
        <v>0</v>
      </c>
      <c r="AM30" s="7" cm="1">
        <f t="array" aca="1" ref="AM30" ca="1">IFERROR(_xlfn.IFS(HLOOKUP(AG30,SatHostTable,2)=0,0,OR(AH30="Server",AH30="Bartender"),-AF30*HostTipPercentage,AH30="Host",HLOOKUP(AG30,SatHostTable,5)*AB30,OR(AH30="Expo",AH30="Food Runner"),0),"")</f>
        <v>-9.2524999999999995</v>
      </c>
      <c r="AN30" s="18" t="s">
        <v>23</v>
      </c>
      <c r="AO30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5</v>
      </c>
      <c r="AP30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809.64480000000003</v>
      </c>
      <c r="AQ30" s="7">
        <f ca="1">IFERROR(Table424789101112131418212325272326[[#This Row],[Weekly Tips]]/Table424789101112131418212325272326[[#This Row],[Hours]],0)</f>
        <v>161.92896000000002</v>
      </c>
      <c r="AR30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1330.5</v>
      </c>
      <c r="AS30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845.05</v>
      </c>
      <c r="AT30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2175.5500000000002</v>
      </c>
      <c r="AU30" s="7" t="s">
        <v>18</v>
      </c>
    </row>
    <row r="31" spans="1:52" ht="16" x14ac:dyDescent="0.2">
      <c r="A31" s="11" t="s">
        <v>31</v>
      </c>
      <c r="B31" s="12">
        <v>1</v>
      </c>
      <c r="C31" s="11">
        <v>141.62</v>
      </c>
      <c r="D31" s="11">
        <v>185</v>
      </c>
      <c r="E31" s="11">
        <v>193</v>
      </c>
      <c r="F31" s="2">
        <f t="shared" si="217"/>
        <v>378</v>
      </c>
      <c r="G31" s="11" t="s">
        <v>20</v>
      </c>
      <c r="H31" s="11" t="s">
        <v>15</v>
      </c>
      <c r="I31" s="2">
        <f t="shared" ref="I31" ca="1" si="229">IF(H31="Bartender",(HLOOKUP(G31,TuesFoodTable,6)*B31)+(HLOOKUP(G31,TuesHostTable,6)*B31)+K31,SUM(K31,L31,M31))</f>
        <v>4.08</v>
      </c>
      <c r="J31" s="2">
        <f t="shared" ref="J31" ca="1" si="230">IFERROR(IF(H31="Bartender",(HLOOKUP(G31,TuesBarTable,6)*B31)+I31,C31+I31),"")</f>
        <v>145.70000000000002</v>
      </c>
      <c r="K31" s="7">
        <f t="shared" ref="K31" si="231">IF(H31="Server",-E31*AlcoholTipPercentage,0)+IF(H31="Bartender",HLOOKUP(G31,TuesBarTable,5)*B31)</f>
        <v>4.08</v>
      </c>
      <c r="L31" s="7" cm="1">
        <f t="array" ref="L31">IFERROR(_xlfn.IFS(HLOOKUP(G31,TuesFoodTable,2)=0,0,OR(H31="Server",H31="Bartender"),-D31*FoodTipPercentage,OR(H31="Expo",H31="Food Runner"),HLOOKUP(G31,TuesFoodTable,5)*B31,H31="Host",0),"")</f>
        <v>0</v>
      </c>
      <c r="M31" s="7" cm="1">
        <f t="array" aca="1" ref="M31" ca="1">IFERROR(_xlfn.IFS(HLOOKUP(G31,TuesHostTable,2)=0,0,OR(H31="Server",H31="Bartender"),-F31*HostTipPercentage,H31="Host",HLOOKUP(G31,TuesHostTable,5)*B31,OR(H31="Expo",H31="Food Runner"),0),"")</f>
        <v>0</v>
      </c>
      <c r="N31" s="16" t="s">
        <v>22</v>
      </c>
      <c r="O31" s="17">
        <v>1</v>
      </c>
      <c r="P31" s="16">
        <v>76.599999999999994</v>
      </c>
      <c r="Q31" s="16">
        <v>149</v>
      </c>
      <c r="R31" s="16">
        <v>202.1</v>
      </c>
      <c r="S31" s="42">
        <f t="shared" si="221"/>
        <v>351.1</v>
      </c>
      <c r="T31" s="16" t="s">
        <v>20</v>
      </c>
      <c r="U31" s="16" t="s">
        <v>18</v>
      </c>
      <c r="V31" s="42">
        <f t="shared" ref="V31" ca="1" si="232">IF(U31="Bartender",(HLOOKUP(T31,ThursFoodTable,6)*O31)+(HLOOKUP(T31,ThursHostTable,6)*O31)+X31,SUM(X31,Y31,Z31))</f>
        <v>-6.0629999999999997</v>
      </c>
      <c r="W31" s="42">
        <f t="shared" ref="W31" ca="1" si="233">IFERROR(IF(U31="Bartender",(HLOOKUP(T31,ThursBarTable,6)*O31)+V31,P31+V31),"")</f>
        <v>70.536999999999992</v>
      </c>
      <c r="X31" s="7">
        <f t="shared" ref="X31" si="234">IF(U31="Server",-R31*AlcoholTipPercentage,0)+IF(U31="Bartender",HLOOKUP(T31,ThursBarTable,5)*O31)</f>
        <v>-6.0629999999999997</v>
      </c>
      <c r="Y31" s="7" cm="1">
        <f t="array" ref="Y31">IFERROR(_xlfn.IFS(HLOOKUP(T31,ThursFoodTable,2)=0,0,OR(U31="Server",U31="Bartender"),-Q31*FoodTipPercentage,OR(U31="Expo",U31="Food Runner"),HLOOKUP(T31,ThursFoodTable,5)*O31,U31="Host",0),"")</f>
        <v>0</v>
      </c>
      <c r="Z31" s="7" cm="1">
        <f t="array" aca="1" ref="Z31" ca="1">IFERROR(_xlfn.IFS(HLOOKUP(T31,ThursHostTable,2)=0,0,OR(U31="Server",U31="Bartender"),-S31*HostTipPercentage,U31="Host",HLOOKUP(T31,ThursHostTable,5)*O31,OR(U31="Expo",U31="Food Runner"),0),"")</f>
        <v>0</v>
      </c>
      <c r="AA31" s="9" t="s">
        <v>13</v>
      </c>
      <c r="AB31" s="10">
        <v>1</v>
      </c>
      <c r="AC31" s="9">
        <v>376.25</v>
      </c>
      <c r="AD31" s="9">
        <v>603</v>
      </c>
      <c r="AE31" s="9">
        <v>508.2</v>
      </c>
      <c r="AF31" s="38">
        <f t="shared" si="225"/>
        <v>1111.2</v>
      </c>
      <c r="AG31" s="9" t="s">
        <v>14</v>
      </c>
      <c r="AH31" s="9" t="s">
        <v>18</v>
      </c>
      <c r="AI31" s="38">
        <f t="shared" ref="AI31" ca="1" si="235">IF(AH31="Bartender",(HLOOKUP(AG31,SatFoodTable,6)*AB31)+(HLOOKUP(AG31,SatHostTable,6)*AB31)+AK31,SUM(AK31,AL31,AM31))</f>
        <v>-26.357999999999997</v>
      </c>
      <c r="AJ31" s="38">
        <f t="shared" ref="AJ31" ca="1" si="236">IFERROR(IF(AH31="Bartender",(HLOOKUP(AG31,SatBarTable,6)*AB31)+AI31,AC31+AI31),"")</f>
        <v>349.892</v>
      </c>
      <c r="AK31" s="7">
        <f t="shared" ref="AK31" si="237">IF(AH31="Server",-AE31*AlcoholTipPercentage,0)+IF(AH31="Bartender",HLOOKUP(AG31,SatBarTable,5)*AB31)</f>
        <v>-15.245999999999999</v>
      </c>
      <c r="AL31" s="7" cm="1">
        <f t="array" ref="AL31">IFERROR(_xlfn.IFS(HLOOKUP(AG31,SatFoodTable,2)=0,0,OR(AH31="Server",AH31="Bartender"),-AD31*FoodTipPercentage,OR(AH31="Expo",AH31="Food Runner"),HLOOKUP(AG31,SatFoodTable,5)*AB31,AH31="Host",0),"")</f>
        <v>0</v>
      </c>
      <c r="AM31" s="7" cm="1">
        <f t="array" aca="1" ref="AM31" ca="1">IFERROR(_xlfn.IFS(HLOOKUP(AG31,SatHostTable,2)=0,0,OR(AH31="Server",AH31="Bartender"),-AF31*HostTipPercentage,AH31="Host",HLOOKUP(AG31,SatHostTable,5)*AB31,OR(AH31="Expo",AH31="Food Runner"),0),"")</f>
        <v>-11.112</v>
      </c>
      <c r="AN31" s="18" t="s">
        <v>22</v>
      </c>
      <c r="AO31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5</v>
      </c>
      <c r="AP31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978.57499999999993</v>
      </c>
      <c r="AQ31" s="7">
        <f ca="1">IFERROR(Table424789101112131418212325272326[[#This Row],[Weekly Tips]]/Table424789101112131418212325272326[[#This Row],[Hours]],0)</f>
        <v>195.71499999999997</v>
      </c>
      <c r="AR31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2004</v>
      </c>
      <c r="AS31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1256.9000000000001</v>
      </c>
      <c r="AT31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3260.8999999999996</v>
      </c>
      <c r="AU31" s="7" t="s">
        <v>30</v>
      </c>
    </row>
    <row r="32" spans="1:52" ht="16" x14ac:dyDescent="0.2">
      <c r="A32" s="11" t="s">
        <v>19</v>
      </c>
      <c r="B32" s="12">
        <v>1</v>
      </c>
      <c r="C32" s="11">
        <v>139.12</v>
      </c>
      <c r="D32" s="11">
        <v>211.5</v>
      </c>
      <c r="E32" s="11">
        <v>136</v>
      </c>
      <c r="F32" s="2">
        <f t="shared" si="217"/>
        <v>347.5</v>
      </c>
      <c r="G32" s="11" t="s">
        <v>20</v>
      </c>
      <c r="H32" s="11" t="s">
        <v>18</v>
      </c>
      <c r="I32" s="2">
        <f t="shared" ref="I32" ca="1" si="238">IF(H32="Bartender",(HLOOKUP(G32,TuesFoodTable,6)*B32)+(HLOOKUP(G32,TuesHostTable,6)*B32)+K32,SUM(K32,L32,M32))</f>
        <v>-4.08</v>
      </c>
      <c r="J32" s="2">
        <f t="shared" ref="J32" ca="1" si="239">IFERROR(IF(H32="Bartender",(HLOOKUP(G32,TuesBarTable,6)*B32)+I32,C32+I32),"")</f>
        <v>135.04</v>
      </c>
      <c r="K32" s="7">
        <f t="shared" ref="K32" si="240">IF(H32="Server",-E32*AlcoholTipPercentage,0)+IF(H32="Bartender",HLOOKUP(G32,TuesBarTable,5)*B32)</f>
        <v>-4.08</v>
      </c>
      <c r="L32" s="7" cm="1">
        <f t="array" ref="L32">IFERROR(_xlfn.IFS(HLOOKUP(G32,TuesFoodTable,2)=0,0,OR(H32="Server",H32="Bartender"),-D32*FoodTipPercentage,OR(H32="Expo",H32="Food Runner"),HLOOKUP(G32,TuesFoodTable,5)*B32,H32="Host",0),"")</f>
        <v>0</v>
      </c>
      <c r="M32" s="7" cm="1">
        <f t="array" aca="1" ref="M32" ca="1">IFERROR(_xlfn.IFS(HLOOKUP(G32,TuesHostTable,2)=0,0,OR(H32="Server",H32="Bartender"),-F32*HostTipPercentage,H32="Host",HLOOKUP(G32,TuesHostTable,5)*B32,OR(H32="Expo",H32="Food Runner"),0),"")</f>
        <v>0</v>
      </c>
      <c r="N32" s="16" t="s">
        <v>17</v>
      </c>
      <c r="O32" s="17">
        <v>1</v>
      </c>
      <c r="P32" s="16">
        <v>128.47</v>
      </c>
      <c r="Q32" s="16">
        <v>216</v>
      </c>
      <c r="R32" s="16">
        <v>177.2</v>
      </c>
      <c r="S32" s="42">
        <f t="shared" si="221"/>
        <v>393.2</v>
      </c>
      <c r="T32" s="16" t="s">
        <v>20</v>
      </c>
      <c r="U32" s="16" t="s">
        <v>15</v>
      </c>
      <c r="V32" s="42">
        <f t="shared" ref="V32" ca="1" si="241">IF(U32="Bartender",(HLOOKUP(T32,ThursFoodTable,6)*O32)+(HLOOKUP(T32,ThursHostTable,6)*O32)+X32,SUM(X32,Y32,Z32))</f>
        <v>8.8704000000000001</v>
      </c>
      <c r="W32" s="42">
        <f t="shared" ref="W32" ca="1" si="242">IFERROR(IF(U32="Bartender",(HLOOKUP(T32,ThursBarTable,6)*O32)+V32,P32+V32),"")</f>
        <v>137.34039999999999</v>
      </c>
      <c r="X32" s="7">
        <f t="shared" ref="X32" si="243">IF(U32="Server",-R32*AlcoholTipPercentage,0)+IF(U32="Bartender",HLOOKUP(T32,ThursBarTable,5)*O32)</f>
        <v>8.8704000000000001</v>
      </c>
      <c r="Y32" s="7" cm="1">
        <f t="array" ref="Y32">IFERROR(_xlfn.IFS(HLOOKUP(T32,ThursFoodTable,2)=0,0,OR(U32="Server",U32="Bartender"),-Q32*FoodTipPercentage,OR(U32="Expo",U32="Food Runner"),HLOOKUP(T32,ThursFoodTable,5)*O32,U32="Host",0),"")</f>
        <v>0</v>
      </c>
      <c r="Z32" s="7" cm="1">
        <f t="array" aca="1" ref="Z32" ca="1">IFERROR(_xlfn.IFS(HLOOKUP(T32,ThursHostTable,2)=0,0,OR(U32="Server",U32="Bartender"),-S32*HostTipPercentage,U32="Host",HLOOKUP(T32,ThursHostTable,5)*O32,OR(U32="Expo",U32="Food Runner"),0),"")</f>
        <v>0</v>
      </c>
      <c r="AA32" s="9" t="s">
        <v>22</v>
      </c>
      <c r="AB32" s="10">
        <v>1</v>
      </c>
      <c r="AC32" s="9">
        <v>305.17</v>
      </c>
      <c r="AD32" s="9">
        <v>806</v>
      </c>
      <c r="AE32" s="9">
        <v>444.7</v>
      </c>
      <c r="AF32" s="38">
        <f t="shared" si="225"/>
        <v>1250.7</v>
      </c>
      <c r="AG32" s="9" t="s">
        <v>14</v>
      </c>
      <c r="AH32" s="9" t="s">
        <v>18</v>
      </c>
      <c r="AI32" s="38">
        <f t="shared" ref="AI32" ca="1" si="244">IF(AH32="Bartender",(HLOOKUP(AG32,SatFoodTable,6)*AB32)+(HLOOKUP(AG32,SatHostTable,6)*AB32)+AK32,SUM(AK32,AL32,AM32))</f>
        <v>-25.847999999999999</v>
      </c>
      <c r="AJ32" s="38">
        <f t="shared" ref="AJ32" ca="1" si="245">IFERROR(IF(AH32="Bartender",(HLOOKUP(AG32,SatBarTable,6)*AB32)+AI32,AC32+AI32),"")</f>
        <v>279.322</v>
      </c>
      <c r="AK32" s="7">
        <f t="shared" ref="AK32" si="246">IF(AH32="Server",-AE32*AlcoholTipPercentage,0)+IF(AH32="Bartender",HLOOKUP(AG32,SatBarTable,5)*AB32)</f>
        <v>-13.340999999999999</v>
      </c>
      <c r="AL32" s="7" cm="1">
        <f t="array" ref="AL32">IFERROR(_xlfn.IFS(HLOOKUP(AG32,SatFoodTable,2)=0,0,OR(AH32="Server",AH32="Bartender"),-AD32*FoodTipPercentage,OR(AH32="Expo",AH32="Food Runner"),HLOOKUP(AG32,SatFoodTable,5)*AB32,AH32="Host",0),"")</f>
        <v>0</v>
      </c>
      <c r="AM32" s="7" cm="1">
        <f t="array" aca="1" ref="AM32" ca="1">IFERROR(_xlfn.IFS(HLOOKUP(AG32,SatHostTable,2)=0,0,OR(AH32="Server",AH32="Bartender"),-AF32*HostTipPercentage,AH32="Host",HLOOKUP(AG32,SatHostTable,5)*AB32,OR(AH32="Expo",AH32="Food Runner"),0),"")</f>
        <v>-12.507000000000001</v>
      </c>
      <c r="AN32" s="18" t="s">
        <v>13</v>
      </c>
      <c r="AO32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5</v>
      </c>
      <c r="AP32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1191.9016000000001</v>
      </c>
      <c r="AQ32" s="7">
        <f ca="1">IFERROR(Table424789101112131418212325272326[[#This Row],[Weekly Tips]]/Table424789101112131418212325272326[[#This Row],[Hours]],0)</f>
        <v>238.38032000000004</v>
      </c>
      <c r="AR32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2003.8</v>
      </c>
      <c r="AS32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1512.22</v>
      </c>
      <c r="AT32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3516.0200000000004</v>
      </c>
      <c r="AU32" s="7" t="s">
        <v>26</v>
      </c>
    </row>
    <row r="33" spans="1:47" ht="16" x14ac:dyDescent="0.2">
      <c r="A33" s="11"/>
      <c r="B33" s="12"/>
      <c r="C33" s="11"/>
      <c r="D33" s="11"/>
      <c r="E33" s="11"/>
      <c r="F33" s="2">
        <f t="shared" si="217"/>
        <v>0</v>
      </c>
      <c r="G33" s="11"/>
      <c r="H33" s="11"/>
      <c r="I33" s="2">
        <f t="shared" ref="I33" si="247">IF(H33="Bartender",(HLOOKUP(G33,TuesFoodTable,6)*B33)+(HLOOKUP(G33,TuesHostTable,6)*B33)+K33,SUM(K33,L33,M33))</f>
        <v>0</v>
      </c>
      <c r="J33" s="2">
        <f t="shared" ref="J33" si="248">IFERROR(IF(H33="Bartender",(HLOOKUP(G33,TuesBarTable,6)*B33)+I33,C33+I33),"")</f>
        <v>0</v>
      </c>
      <c r="K33" s="7">
        <f t="shared" ref="K33" si="249">IF(H33="Server",-E33*AlcoholTipPercentage,0)+IF(H33="Bartender",HLOOKUP(G33,TuesBarTable,5)*B33)</f>
        <v>0</v>
      </c>
      <c r="L33" s="7" t="str" cm="1">
        <f t="array" ref="L33">IFERROR(_xlfn.IFS(HLOOKUP(G33,TuesFoodTable,2)=0,0,OR(H33="Server",H33="Bartender"),-D33*FoodTipPercentage,OR(H33="Expo",H33="Food Runner"),HLOOKUP(G33,TuesFoodTable,5)*B33,H33="Host",0),"")</f>
        <v/>
      </c>
      <c r="M33" s="7" t="str" cm="1">
        <f t="array" ref="M33">IFERROR(_xlfn.IFS(HLOOKUP(G33,TuesHostTable,2)=0,0,OR(H33="Server",H33="Bartender"),-F33*HostTipPercentage,H33="Host",HLOOKUP(G33,TuesHostTable,5)*B33,OR(H33="Expo",H33="Food Runner"),0),"")</f>
        <v/>
      </c>
      <c r="N33" s="16"/>
      <c r="O33" s="17"/>
      <c r="P33" s="16"/>
      <c r="Q33" s="16"/>
      <c r="R33" s="16"/>
      <c r="S33" s="42">
        <f t="shared" si="221"/>
        <v>0</v>
      </c>
      <c r="T33" s="16"/>
      <c r="U33" s="16"/>
      <c r="V33" s="42">
        <f t="shared" ref="V33" si="250">IF(U33="Bartender",(HLOOKUP(T33,ThursFoodTable,6)*O33)+(HLOOKUP(T33,ThursHostTable,6)*O33)+X33,SUM(X33,Y33,Z33))</f>
        <v>0</v>
      </c>
      <c r="W33" s="42">
        <f t="shared" ref="W33" si="251">IFERROR(IF(U33="Bartender",(HLOOKUP(T33,ThursBarTable,6)*O33)+V33,P33+V33),"")</f>
        <v>0</v>
      </c>
      <c r="X33" s="7">
        <f t="shared" ref="X33" si="252">IF(U33="Server",-R33*AlcoholTipPercentage,0)+IF(U33="Bartender",HLOOKUP(T33,ThursBarTable,5)*O33)</f>
        <v>0</v>
      </c>
      <c r="Y33" s="7" t="str" cm="1">
        <f t="array" ref="Y33">IFERROR(_xlfn.IFS(HLOOKUP(T33,ThursFoodTable,2)=0,0,OR(U33="Server",U33="Bartender"),-Q33*FoodTipPercentage,OR(U33="Expo",U33="Food Runner"),HLOOKUP(T33,ThursFoodTable,5)*O33,U33="Host",0),"")</f>
        <v/>
      </c>
      <c r="Z33" s="7" t="str" cm="1">
        <f t="array" ref="Z33">IFERROR(_xlfn.IFS(HLOOKUP(T33,ThursHostTable,2)=0,0,OR(U33="Server",U33="Bartender"),-S33*HostTipPercentage,U33="Host",HLOOKUP(T33,ThursHostTable,5)*O33,OR(U33="Expo",U33="Food Runner"),0),"")</f>
        <v/>
      </c>
      <c r="AA33" s="9" t="s">
        <v>29</v>
      </c>
      <c r="AB33" s="10">
        <v>1</v>
      </c>
      <c r="AC33" s="9"/>
      <c r="AD33" s="9"/>
      <c r="AE33" s="9"/>
      <c r="AF33" s="38">
        <f t="shared" si="225"/>
        <v>0</v>
      </c>
      <c r="AG33" s="9" t="s">
        <v>14</v>
      </c>
      <c r="AH33" s="9" t="s">
        <v>30</v>
      </c>
      <c r="AI33" s="38">
        <f t="shared" ref="AI33" ca="1" si="253">IF(AH33="Bartender",(HLOOKUP(AG33,SatFoodTable,6)*AB33)+(HLOOKUP(AG33,SatHostTable,6)*AB33)+AK33,SUM(AK33,AL33,AM33))</f>
        <v>52.140500000000003</v>
      </c>
      <c r="AJ33" s="38">
        <f t="shared" ref="AJ33" ca="1" si="254">IFERROR(IF(AH33="Bartender",(HLOOKUP(AG33,SatBarTable,6)*AB33)+AI33,AC33+AI33),"")</f>
        <v>52.140500000000003</v>
      </c>
      <c r="AK33" s="7">
        <f t="shared" ref="AK33" si="255">IF(AH33="Server",-AE33*AlcoholTipPercentage,0)+IF(AH33="Bartender",HLOOKUP(AG33,SatBarTable,5)*AB33)</f>
        <v>0</v>
      </c>
      <c r="AL33" s="7" cm="1">
        <f t="array" ref="AL33">IFERROR(_xlfn.IFS(HLOOKUP(AG33,SatFoodTable,2)=0,0,OR(AH33="Server",AH33="Bartender"),-AD33*FoodTipPercentage,OR(AH33="Expo",AH33="Food Runner"),HLOOKUP(AG33,SatFoodTable,5)*AB33,AH33="Host",0),"")</f>
        <v>0</v>
      </c>
      <c r="AM33" s="7" cm="1">
        <f t="array" aca="1" ref="AM33" ca="1">IFERROR(_xlfn.IFS(HLOOKUP(AG33,SatHostTable,2)=0,0,OR(AH33="Server",AH33="Bartender"),-AF33*HostTipPercentage,AH33="Host",HLOOKUP(AG33,SatHostTable,5)*AB33,OR(AH33="Expo",AH33="Food Runner"),0),"")</f>
        <v>52.140500000000003</v>
      </c>
      <c r="AN33" s="18" t="s">
        <v>19</v>
      </c>
      <c r="AO33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4</v>
      </c>
      <c r="AP33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954.92499999999995</v>
      </c>
      <c r="AQ33" s="7">
        <f ca="1">IFERROR(Table424789101112131418212325272326[[#This Row],[Weekly Tips]]/Table424789101112131418212325272326[[#This Row],[Hours]],0)</f>
        <v>238.73124999999999</v>
      </c>
      <c r="AR33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1511.5</v>
      </c>
      <c r="AS33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1124.8499999999999</v>
      </c>
      <c r="AT33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2636.35</v>
      </c>
    </row>
    <row r="34" spans="1:47" ht="16" x14ac:dyDescent="0.2">
      <c r="A34" s="11"/>
      <c r="B34" s="12"/>
      <c r="C34" s="11"/>
      <c r="D34" s="11"/>
      <c r="E34" s="11"/>
      <c r="F34" s="2">
        <f t="shared" si="217"/>
        <v>0</v>
      </c>
      <c r="G34" s="11"/>
      <c r="H34" s="11"/>
      <c r="I34" s="2">
        <f t="shared" ref="I34" si="256">IF(H34="Bartender",(HLOOKUP(G34,TuesFoodTable,6)*B34)+(HLOOKUP(G34,TuesHostTable,6)*B34)+K34,SUM(K34,L34,M34))</f>
        <v>0</v>
      </c>
      <c r="J34" s="2">
        <f t="shared" ref="J34" si="257">IFERROR(IF(H34="Bartender",(HLOOKUP(G34,TuesBarTable,6)*B34)+I34,C34+I34),"")</f>
        <v>0</v>
      </c>
      <c r="K34" s="7">
        <f t="shared" ref="K34" si="258">IF(H34="Server",-E34*AlcoholTipPercentage,0)+IF(H34="Bartender",HLOOKUP(G34,TuesBarTable,5)*B34)</f>
        <v>0</v>
      </c>
      <c r="L34" s="7" t="str" cm="1">
        <f t="array" ref="L34">IFERROR(_xlfn.IFS(HLOOKUP(G34,TuesFoodTable,2)=0,0,OR(H34="Server",H34="Bartender"),-D34*FoodTipPercentage,OR(H34="Expo",H34="Food Runner"),HLOOKUP(G34,TuesFoodTable,5)*B34,H34="Host",0),"")</f>
        <v/>
      </c>
      <c r="M34" s="7" t="str" cm="1">
        <f t="array" ref="M34">IFERROR(_xlfn.IFS(HLOOKUP(G34,TuesHostTable,2)=0,0,OR(H34="Server",H34="Bartender"),-F34*HostTipPercentage,H34="Host",HLOOKUP(G34,TuesHostTable,5)*B34,OR(H34="Expo",H34="Food Runner"),0),"")</f>
        <v/>
      </c>
      <c r="N34" s="16"/>
      <c r="O34" s="17"/>
      <c r="P34" s="16"/>
      <c r="Q34" s="16"/>
      <c r="R34" s="16"/>
      <c r="S34" s="42">
        <f t="shared" si="221"/>
        <v>0</v>
      </c>
      <c r="T34" s="16"/>
      <c r="U34" s="16"/>
      <c r="V34" s="42">
        <f t="shared" ref="V34" si="259">IF(U34="Bartender",(HLOOKUP(T34,ThursFoodTable,6)*O34)+(HLOOKUP(T34,ThursHostTable,6)*O34)+X34,SUM(X34,Y34,Z34))</f>
        <v>0</v>
      </c>
      <c r="W34" s="42">
        <f t="shared" ref="W34" si="260">IFERROR(IF(U34="Bartender",(HLOOKUP(T34,ThursBarTable,6)*O34)+V34,P34+V34),"")</f>
        <v>0</v>
      </c>
      <c r="X34" s="7">
        <f t="shared" ref="X34" si="261">IF(U34="Server",-R34*AlcoholTipPercentage,0)+IF(U34="Bartender",HLOOKUP(T34,ThursBarTable,5)*O34)</f>
        <v>0</v>
      </c>
      <c r="Y34" s="7" t="str" cm="1">
        <f t="array" ref="Y34">IFERROR(_xlfn.IFS(HLOOKUP(T34,ThursFoodTable,2)=0,0,OR(U34="Server",U34="Bartender"),-Q34*FoodTipPercentage,OR(U34="Expo",U34="Food Runner"),HLOOKUP(T34,ThursFoodTable,5)*O34,U34="Host",0),"")</f>
        <v/>
      </c>
      <c r="Z34" s="7" t="str" cm="1">
        <f t="array" ref="Z34">IFERROR(_xlfn.IFS(HLOOKUP(T34,ThursHostTable,2)=0,0,OR(U34="Server",U34="Bartender"),-S34*HostTipPercentage,U34="Host",HLOOKUP(T34,ThursHostTable,5)*O34,OR(U34="Expo",U34="Food Runner"),0),"")</f>
        <v/>
      </c>
      <c r="AA34" s="9" t="s">
        <v>17</v>
      </c>
      <c r="AB34" s="10">
        <v>1</v>
      </c>
      <c r="AC34" s="9">
        <v>336.45</v>
      </c>
      <c r="AD34" s="9">
        <v>543</v>
      </c>
      <c r="AE34" s="9">
        <v>650.25</v>
      </c>
      <c r="AF34" s="38">
        <f t="shared" si="225"/>
        <v>1193.25</v>
      </c>
      <c r="AG34" s="9" t="s">
        <v>20</v>
      </c>
      <c r="AH34" s="9" t="s">
        <v>15</v>
      </c>
      <c r="AI34" s="38">
        <f t="shared" ref="AI34" ca="1" si="262">IF(AH34="Bartender",(HLOOKUP(AG34,SatFoodTable,6)*AB34)+(HLOOKUP(AG34,SatHostTable,6)*AB34)+AK34,SUM(AK34,AL34,AM34))</f>
        <v>38.780999999999992</v>
      </c>
      <c r="AJ34" s="38">
        <f t="shared" ref="AJ34" ca="1" si="263">IFERROR(IF(AH34="Bartender",(HLOOKUP(AG34,SatBarTable,6)*AB34)+AI34,AC34+AI34),"")</f>
        <v>375.23099999999999</v>
      </c>
      <c r="AK34" s="7">
        <f t="shared" ref="AK34" si="264">IF(AH34="Server",-AE34*AlcoholTipPercentage,0)+IF(AH34="Bartender",HLOOKUP(AG34,SatBarTable,5)*AB34)</f>
        <v>50.713499999999996</v>
      </c>
      <c r="AL34" s="7" cm="1">
        <f t="array" ref="AL34">IFERROR(_xlfn.IFS(HLOOKUP(AG34,SatFoodTable,2)=0,0,OR(AH34="Server",AH34="Bartender"),-AD34*FoodTipPercentage,OR(AH34="Expo",AH34="Food Runner"),HLOOKUP(AG34,SatFoodTable,5)*AB34,AH34="Host",0),"")</f>
        <v>0</v>
      </c>
      <c r="AM34" s="7" cm="1">
        <f t="array" aca="1" ref="AM34" ca="1">IFERROR(_xlfn.IFS(HLOOKUP(AG34,SatHostTable,2)=0,0,OR(AH34="Server",AH34="Bartender"),-AF34*HostTipPercentage,AH34="Host",HLOOKUP(AG34,SatHostTable,5)*AB34,OR(AH34="Expo",AH34="Food Runner"),0),"")</f>
        <v>-11.932500000000001</v>
      </c>
      <c r="AN34" s="18" t="s">
        <v>24</v>
      </c>
      <c r="AO34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4</v>
      </c>
      <c r="AP34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947.52020000000005</v>
      </c>
      <c r="AQ34" s="7">
        <f ca="1">IFERROR(Table424789101112131418212325272326[[#This Row],[Weekly Tips]]/Table424789101112131418212325272326[[#This Row],[Hours]],0)</f>
        <v>236.88005000000001</v>
      </c>
      <c r="AR34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1512.08</v>
      </c>
      <c r="AS34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1042.08</v>
      </c>
      <c r="AT34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2554.16</v>
      </c>
    </row>
    <row r="35" spans="1:47" ht="16" x14ac:dyDescent="0.2">
      <c r="A35" s="11"/>
      <c r="B35" s="12"/>
      <c r="C35" s="11"/>
      <c r="D35" s="11"/>
      <c r="E35" s="11"/>
      <c r="F35" s="2">
        <f t="shared" si="217"/>
        <v>0</v>
      </c>
      <c r="G35" s="11"/>
      <c r="H35" s="11"/>
      <c r="I35" s="2">
        <f t="shared" ref="I35" si="265">IF(H35="Bartender",(HLOOKUP(G35,TuesFoodTable,6)*B35)+(HLOOKUP(G35,TuesHostTable,6)*B35)+K35,SUM(K35,L35,M35))</f>
        <v>0</v>
      </c>
      <c r="J35" s="2">
        <f t="shared" ref="J35" si="266">IFERROR(IF(H35="Bartender",(HLOOKUP(G35,TuesBarTable,6)*B35)+I35,C35+I35),"")</f>
        <v>0</v>
      </c>
      <c r="K35" s="7">
        <f t="shared" ref="K35" si="267">IF(H35="Server",-E35*AlcoholTipPercentage,0)+IF(H35="Bartender",HLOOKUP(G35,TuesBarTable,5)*B35)</f>
        <v>0</v>
      </c>
      <c r="L35" s="7" t="str" cm="1">
        <f t="array" ref="L35">IFERROR(_xlfn.IFS(HLOOKUP(G35,TuesFoodTable,2)=0,0,OR(H35="Server",H35="Bartender"),-D35*FoodTipPercentage,OR(H35="Expo",H35="Food Runner"),HLOOKUP(G35,TuesFoodTable,5)*B35,H35="Host",0),"")</f>
        <v/>
      </c>
      <c r="M35" s="7" t="str" cm="1">
        <f t="array" ref="M35">IFERROR(_xlfn.IFS(HLOOKUP(G35,TuesHostTable,2)=0,0,OR(H35="Server",H35="Bartender"),-F35*HostTipPercentage,H35="Host",HLOOKUP(G35,TuesHostTable,5)*B35,OR(H35="Expo",H35="Food Runner"),0),"")</f>
        <v/>
      </c>
      <c r="N35" s="16"/>
      <c r="O35" s="17"/>
      <c r="P35" s="16"/>
      <c r="Q35" s="16"/>
      <c r="R35" s="16"/>
      <c r="S35" s="42">
        <f t="shared" si="221"/>
        <v>0</v>
      </c>
      <c r="T35" s="16"/>
      <c r="U35" s="16"/>
      <c r="V35" s="42">
        <f t="shared" ref="V35" si="268">IF(U35="Bartender",(HLOOKUP(T35,ThursFoodTable,6)*O35)+(HLOOKUP(T35,ThursHostTable,6)*O35)+X35,SUM(X35,Y35,Z35))</f>
        <v>0</v>
      </c>
      <c r="W35" s="42">
        <f t="shared" ref="W35" si="269">IFERROR(IF(U35="Bartender",(HLOOKUP(T35,ThursBarTable,6)*O35)+V35,P35+V35),"")</f>
        <v>0</v>
      </c>
      <c r="X35" s="7">
        <f t="shared" ref="X35" si="270">IF(U35="Server",-R35*AlcoholTipPercentage,0)+IF(U35="Bartender",HLOOKUP(T35,ThursBarTable,5)*O35)</f>
        <v>0</v>
      </c>
      <c r="Y35" s="7" t="str" cm="1">
        <f t="array" ref="Y35">IFERROR(_xlfn.IFS(HLOOKUP(T35,ThursFoodTable,2)=0,0,OR(U35="Server",U35="Bartender"),-Q35*FoodTipPercentage,OR(U35="Expo",U35="Food Runner"),HLOOKUP(T35,ThursFoodTable,5)*O35,U35="Host",0),"")</f>
        <v/>
      </c>
      <c r="Z35" s="7" t="str" cm="1">
        <f t="array" ref="Z35">IFERROR(_xlfn.IFS(HLOOKUP(T35,ThursHostTable,2)=0,0,OR(U35="Server",U35="Bartender"),-S35*HostTipPercentage,U35="Host",HLOOKUP(T35,ThursHostTable,5)*O35,OR(U35="Expo",U35="Food Runner"),0),"")</f>
        <v/>
      </c>
      <c r="AA35" s="9" t="s">
        <v>24</v>
      </c>
      <c r="AB35" s="10">
        <v>1</v>
      </c>
      <c r="AC35" s="9">
        <v>411.01</v>
      </c>
      <c r="AD35" s="9">
        <v>602</v>
      </c>
      <c r="AE35" s="9">
        <v>453.5</v>
      </c>
      <c r="AF35" s="38">
        <f t="shared" si="225"/>
        <v>1055.5</v>
      </c>
      <c r="AG35" s="9" t="s">
        <v>20</v>
      </c>
      <c r="AH35" s="9" t="s">
        <v>18</v>
      </c>
      <c r="AI35" s="38">
        <f t="shared" ref="AI35" ca="1" si="271">IF(AH35="Bartender",(HLOOKUP(AG35,SatFoodTable,6)*AB35)+(HLOOKUP(AG35,SatHostTable,6)*AB35)+AK35,SUM(AK35,AL35,AM35))</f>
        <v>-24.159999999999997</v>
      </c>
      <c r="AJ35" s="38">
        <f t="shared" ref="AJ35" ca="1" si="272">IFERROR(IF(AH35="Bartender",(HLOOKUP(AG35,SatBarTable,6)*AB35)+AI35,AC35+AI35),"")</f>
        <v>386.85</v>
      </c>
      <c r="AK35" s="7">
        <f t="shared" ref="AK35" si="273">IF(AH35="Server",-AE35*AlcoholTipPercentage,0)+IF(AH35="Bartender",HLOOKUP(AG35,SatBarTable,5)*AB35)</f>
        <v>-13.604999999999999</v>
      </c>
      <c r="AL35" s="7" cm="1">
        <f t="array" ref="AL35">IFERROR(_xlfn.IFS(HLOOKUP(AG35,SatFoodTable,2)=0,0,OR(AH35="Server",AH35="Bartender"),-AD35*FoodTipPercentage,OR(AH35="Expo",AH35="Food Runner"),HLOOKUP(AG35,SatFoodTable,5)*AB35,AH35="Host",0),"")</f>
        <v>0</v>
      </c>
      <c r="AM35" s="7" cm="1">
        <f t="array" aca="1" ref="AM35" ca="1">IFERROR(_xlfn.IFS(HLOOKUP(AG35,SatHostTable,2)=0,0,OR(AH35="Server",AH35="Bartender"),-AF35*HostTipPercentage,AH35="Host",HLOOKUP(AG35,SatHostTable,5)*AB35,OR(AH35="Expo",AH35="Food Runner"),0),"")</f>
        <v>-10.555</v>
      </c>
      <c r="AN35" s="18" t="s">
        <v>31</v>
      </c>
      <c r="AO35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3</v>
      </c>
      <c r="AP35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747.60239999999999</v>
      </c>
      <c r="AQ35" s="7">
        <f ca="1">IFERROR(Table424789101112131418212325272326[[#This Row],[Weekly Tips]]/Table424789101112131418212325272326[[#This Row],[Hours]],0)</f>
        <v>249.20079999999999</v>
      </c>
      <c r="AR35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1121</v>
      </c>
      <c r="AS35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991.12</v>
      </c>
      <c r="AT35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2112.12</v>
      </c>
    </row>
    <row r="36" spans="1:47" ht="16" x14ac:dyDescent="0.2">
      <c r="A36" s="11"/>
      <c r="B36" s="12"/>
      <c r="C36" s="11"/>
      <c r="D36" s="11"/>
      <c r="E36" s="11"/>
      <c r="F36" s="2">
        <f t="shared" si="217"/>
        <v>0</v>
      </c>
      <c r="G36" s="11"/>
      <c r="H36" s="11"/>
      <c r="I36" s="2">
        <f t="shared" ref="I36" si="274">IF(H36="Bartender",(HLOOKUP(G36,TuesFoodTable,6)*B36)+(HLOOKUP(G36,TuesHostTable,6)*B36)+K36,SUM(K36,L36,M36))</f>
        <v>0</v>
      </c>
      <c r="J36" s="2">
        <f t="shared" ref="J36" si="275">IFERROR(IF(H36="Bartender",(HLOOKUP(G36,TuesBarTable,6)*B36)+I36,C36+I36),"")</f>
        <v>0</v>
      </c>
      <c r="K36" s="7">
        <f t="shared" ref="K36" si="276">IF(H36="Server",-E36*AlcoholTipPercentage,0)+IF(H36="Bartender",HLOOKUP(G36,TuesBarTable,5)*B36)</f>
        <v>0</v>
      </c>
      <c r="L36" s="7" t="str" cm="1">
        <f t="array" ref="L36">IFERROR(_xlfn.IFS(HLOOKUP(G36,TuesFoodTable,2)=0,0,OR(H36="Server",H36="Bartender"),-D36*FoodTipPercentage,OR(H36="Expo",H36="Food Runner"),HLOOKUP(G36,TuesFoodTable,5)*B36,H36="Host",0),"")</f>
        <v/>
      </c>
      <c r="M36" s="7" t="str" cm="1">
        <f t="array" ref="M36">IFERROR(_xlfn.IFS(HLOOKUP(G36,TuesHostTable,2)=0,0,OR(H36="Server",H36="Bartender"),-F36*HostTipPercentage,H36="Host",HLOOKUP(G36,TuesHostTable,5)*B36,OR(H36="Expo",H36="Food Runner"),0),"")</f>
        <v/>
      </c>
      <c r="N36" s="16"/>
      <c r="O36" s="17"/>
      <c r="P36" s="16"/>
      <c r="Q36" s="16"/>
      <c r="R36" s="16"/>
      <c r="S36" s="42">
        <f t="shared" si="221"/>
        <v>0</v>
      </c>
      <c r="T36" s="16"/>
      <c r="U36" s="16"/>
      <c r="V36" s="42">
        <f t="shared" ref="V36" si="277">IF(U36="Bartender",(HLOOKUP(T36,ThursFoodTable,6)*O36)+(HLOOKUP(T36,ThursHostTable,6)*O36)+X36,SUM(X36,Y36,Z36))</f>
        <v>0</v>
      </c>
      <c r="W36" s="42">
        <f t="shared" ref="W36" si="278">IFERROR(IF(U36="Bartender",(HLOOKUP(T36,ThursBarTable,6)*O36)+V36,P36+V36),"")</f>
        <v>0</v>
      </c>
      <c r="X36" s="7">
        <f t="shared" ref="X36" si="279">IF(U36="Server",-R36*AlcoholTipPercentage,0)+IF(U36="Bartender",HLOOKUP(T36,ThursBarTable,5)*O36)</f>
        <v>0</v>
      </c>
      <c r="Y36" s="7" t="str" cm="1">
        <f t="array" ref="Y36">IFERROR(_xlfn.IFS(HLOOKUP(T36,ThursFoodTable,2)=0,0,OR(U36="Server",U36="Bartender"),-Q36*FoodTipPercentage,OR(U36="Expo",U36="Food Runner"),HLOOKUP(T36,ThursFoodTable,5)*O36,U36="Host",0),"")</f>
        <v/>
      </c>
      <c r="Z36" s="7" t="str" cm="1">
        <f t="array" ref="Z36">IFERROR(_xlfn.IFS(HLOOKUP(T36,ThursHostTable,2)=0,0,OR(U36="Server",U36="Bartender"),-S36*HostTipPercentage,U36="Host",HLOOKUP(T36,ThursHostTable,5)*O36,OR(U36="Expo",U36="Food Runner"),0),"")</f>
        <v/>
      </c>
      <c r="AA36" s="9" t="s">
        <v>32</v>
      </c>
      <c r="AB36" s="10">
        <v>1</v>
      </c>
      <c r="AC36" s="9">
        <v>177.56</v>
      </c>
      <c r="AD36" s="9"/>
      <c r="AE36" s="9"/>
      <c r="AF36" s="38">
        <f t="shared" si="225"/>
        <v>0</v>
      </c>
      <c r="AG36" s="9" t="s">
        <v>20</v>
      </c>
      <c r="AH36" s="9" t="s">
        <v>18</v>
      </c>
      <c r="AI36" s="38">
        <f t="shared" ref="AI36" ca="1" si="280">IF(AH36="Bartender",(HLOOKUP(AG36,SatFoodTable,6)*AB36)+(HLOOKUP(AG36,SatHostTable,6)*AB36)+AK36,SUM(AK36,AL36,AM36))</f>
        <v>0</v>
      </c>
      <c r="AJ36" s="38">
        <f t="shared" ref="AJ36" ca="1" si="281">IFERROR(IF(AH36="Bartender",(HLOOKUP(AG36,SatBarTable,6)*AB36)+AI36,AC36+AI36),"")</f>
        <v>177.56</v>
      </c>
      <c r="AK36" s="7">
        <f t="shared" ref="AK36" si="282">IF(AH36="Server",-AE36*AlcoholTipPercentage,0)+IF(AH36="Bartender",HLOOKUP(AG36,SatBarTable,5)*AB36)</f>
        <v>0</v>
      </c>
      <c r="AL36" s="7" cm="1">
        <f t="array" ref="AL36">IFERROR(_xlfn.IFS(HLOOKUP(AG36,SatFoodTable,2)=0,0,OR(AH36="Server",AH36="Bartender"),-AD36*FoodTipPercentage,OR(AH36="Expo",AH36="Food Runner"),HLOOKUP(AG36,SatFoodTable,5)*AB36,AH36="Host",0),"")</f>
        <v>0</v>
      </c>
      <c r="AM36" s="7" cm="1">
        <f t="array" aca="1" ref="AM36" ca="1">IFERROR(_xlfn.IFS(HLOOKUP(AG36,SatHostTable,2)=0,0,OR(AH36="Server",AH36="Bartender"),-AF36*HostTipPercentage,AH36="Host",HLOOKUP(AG36,SatHostTable,5)*AB36,OR(AH36="Expo",AH36="Food Runner"),0),"")</f>
        <v>0</v>
      </c>
      <c r="AN36" s="18" t="s">
        <v>16</v>
      </c>
      <c r="AO36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3</v>
      </c>
      <c r="AP36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479.69260000000003</v>
      </c>
      <c r="AQ36" s="7">
        <f ca="1">IFERROR(Table424789101112131418212325272326[[#This Row],[Weekly Tips]]/Table424789101112131418212325272326[[#This Row],[Hours]],0)</f>
        <v>159.89753333333334</v>
      </c>
      <c r="AR36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926.5</v>
      </c>
      <c r="AS36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403.93</v>
      </c>
      <c r="AT36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1330.43</v>
      </c>
    </row>
    <row r="37" spans="1:47" ht="16" x14ac:dyDescent="0.2">
      <c r="A37" s="11"/>
      <c r="B37" s="12"/>
      <c r="C37" s="11"/>
      <c r="D37" s="11"/>
      <c r="E37" s="11"/>
      <c r="F37" s="37">
        <f t="shared" si="217"/>
        <v>0</v>
      </c>
      <c r="G37" s="11"/>
      <c r="H37" s="11"/>
      <c r="I37" s="2">
        <f t="shared" ref="I37" si="283">IF(H37="Bartender",(HLOOKUP(G37,TuesFoodTable,6)*B37)+(HLOOKUP(G37,TuesHostTable,6)*B37)+K37,SUM(K37,L37,M37))</f>
        <v>0</v>
      </c>
      <c r="J37" s="37">
        <f t="shared" ref="J37" si="284">IFERROR(IF(H37="Bartender",(HLOOKUP(G37,TuesBarTable,6)*B37)+I37,C37+I37),"")</f>
        <v>0</v>
      </c>
      <c r="K37" s="7">
        <f t="shared" ref="K37" si="285">IF(H37="Server",-E37*AlcoholTipPercentage,0)+IF(H37="Bartender",HLOOKUP(G37,TuesBarTable,5)*B37)</f>
        <v>0</v>
      </c>
      <c r="L37" s="7" t="str" cm="1">
        <f t="array" ref="L37">IFERROR(_xlfn.IFS(HLOOKUP(G37,TuesFoodTable,2)=0,0,OR(H37="Server",H37="Bartender"),-D37*FoodTipPercentage,OR(H37="Expo",H37="Food Runner"),HLOOKUP(G37,TuesFoodTable,5)*B37,H37="Host",0),"")</f>
        <v/>
      </c>
      <c r="M37" s="7" t="str" cm="1">
        <f t="array" ref="M37">IFERROR(_xlfn.IFS(HLOOKUP(G37,TuesHostTable,2)=0,0,OR(H37="Server",H37="Bartender"),-F37*HostTipPercentage,H37="Host",HLOOKUP(G37,TuesHostTable,5)*B37,OR(H37="Expo",H37="Food Runner"),0),"")</f>
        <v/>
      </c>
      <c r="N37" s="16"/>
      <c r="O37" s="17"/>
      <c r="P37" s="16"/>
      <c r="Q37" s="16"/>
      <c r="R37" s="16"/>
      <c r="S37" s="42">
        <f t="shared" si="221"/>
        <v>0</v>
      </c>
      <c r="T37" s="16"/>
      <c r="U37" s="16"/>
      <c r="V37" s="42">
        <f t="shared" ref="V37" si="286">IF(U37="Bartender",(HLOOKUP(T37,ThursFoodTable,6)*O37)+(HLOOKUP(T37,ThursHostTable,6)*O37)+X37,SUM(X37,Y37,Z37))</f>
        <v>0</v>
      </c>
      <c r="W37" s="42">
        <f t="shared" ref="W37" si="287">IFERROR(IF(U37="Bartender",(HLOOKUP(T37,ThursBarTable,6)*O37)+V37,P37+V37),"")</f>
        <v>0</v>
      </c>
      <c r="X37" s="7">
        <f t="shared" ref="X37" si="288">IF(U37="Server",-R37*AlcoholTipPercentage,0)+IF(U37="Bartender",HLOOKUP(T37,ThursBarTable,5)*O37)</f>
        <v>0</v>
      </c>
      <c r="Y37" s="7" t="str" cm="1">
        <f t="array" ref="Y37">IFERROR(_xlfn.IFS(HLOOKUP(T37,ThursFoodTable,2)=0,0,OR(U37="Server",U37="Bartender"),-Q37*FoodTipPercentage,OR(U37="Expo",U37="Food Runner"),HLOOKUP(T37,ThursFoodTable,5)*O37,U37="Host",0),"")</f>
        <v/>
      </c>
      <c r="Z37" s="7" t="str" cm="1">
        <f t="array" ref="Z37">IFERROR(_xlfn.IFS(HLOOKUP(T37,ThursHostTable,2)=0,0,OR(U37="Server",U37="Bartender"),-S37*HostTipPercentage,U37="Host",HLOOKUP(T37,ThursHostTable,5)*O37,OR(U37="Expo",U37="Food Runner"),0),"")</f>
        <v/>
      </c>
      <c r="AA37" s="9" t="s">
        <v>19</v>
      </c>
      <c r="AB37" s="10">
        <v>1</v>
      </c>
      <c r="AC37" s="9">
        <v>290.68</v>
      </c>
      <c r="AD37" s="9">
        <v>518.5</v>
      </c>
      <c r="AE37" s="9">
        <v>404.25</v>
      </c>
      <c r="AF37" s="38">
        <f t="shared" si="225"/>
        <v>922.75</v>
      </c>
      <c r="AG37" s="9" t="s">
        <v>20</v>
      </c>
      <c r="AH37" s="9" t="s">
        <v>18</v>
      </c>
      <c r="AI37" s="38">
        <f t="shared" ref="AI37" ca="1" si="289">IF(AH37="Bartender",(HLOOKUP(AG37,SatFoodTable,6)*AB37)+(HLOOKUP(AG37,SatHostTable,6)*AB37)+AK37,SUM(AK37,AL37,AM37))</f>
        <v>-21.355</v>
      </c>
      <c r="AJ37" s="38">
        <f t="shared" ref="AJ37" ca="1" si="290">IFERROR(IF(AH37="Bartender",(HLOOKUP(AG37,SatBarTable,6)*AB37)+AI37,AC37+AI37),"")</f>
        <v>269.32499999999999</v>
      </c>
      <c r="AK37" s="7">
        <f t="shared" ref="AK37" si="291">IF(AH37="Server",-AE37*AlcoholTipPercentage,0)+IF(AH37="Bartender",HLOOKUP(AG37,SatBarTable,5)*AB37)</f>
        <v>-12.1275</v>
      </c>
      <c r="AL37" s="7" cm="1">
        <f t="array" ref="AL37">IFERROR(_xlfn.IFS(HLOOKUP(AG37,SatFoodTable,2)=0,0,OR(AH37="Server",AH37="Bartender"),-AD37*FoodTipPercentage,OR(AH37="Expo",AH37="Food Runner"),HLOOKUP(AG37,SatFoodTable,5)*AB37,AH37="Host",0),"")</f>
        <v>0</v>
      </c>
      <c r="AM37" s="7" cm="1">
        <f t="array" aca="1" ref="AM37" ca="1">IFERROR(_xlfn.IFS(HLOOKUP(AG37,SatHostTable,2)=0,0,OR(AH37="Server",AH37="Bartender"),-AF37*HostTipPercentage,AH37="Host",HLOOKUP(AG37,SatHostTable,5)*AB37,OR(AH37="Expo",AH37="Food Runner"),0),"")</f>
        <v>-9.2275000000000009</v>
      </c>
      <c r="AN37" s="18" t="s">
        <v>29</v>
      </c>
      <c r="AO37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2</v>
      </c>
      <c r="AP37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72.267500000000013</v>
      </c>
      <c r="AQ37" s="7">
        <f ca="1">IFERROR(Table424789101112131418212325272326[[#This Row],[Weekly Tips]]/Table424789101112131418212325272326[[#This Row],[Hours]],0)</f>
        <v>36.133750000000006</v>
      </c>
      <c r="AR37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37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37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38" spans="1:47" ht="16" x14ac:dyDescent="0.2">
      <c r="A38" s="11"/>
      <c r="B38" s="12"/>
      <c r="C38" s="11"/>
      <c r="D38" s="11"/>
      <c r="E38" s="11"/>
      <c r="F38" s="37">
        <f t="shared" si="217"/>
        <v>0</v>
      </c>
      <c r="G38" s="11"/>
      <c r="H38" s="11"/>
      <c r="I38" s="2">
        <f t="shared" ref="I38" si="292">IF(H38="Bartender",(HLOOKUP(G38,TuesFoodTable,6)*B38)+(HLOOKUP(G38,TuesHostTable,6)*B38)+K38,SUM(K38,L38,M38))</f>
        <v>0</v>
      </c>
      <c r="J38" s="37">
        <f t="shared" ref="J38" si="293">IFERROR(IF(H38="Bartender",(HLOOKUP(G38,TuesBarTable,6)*B38)+I38,C38+I38),"")</f>
        <v>0</v>
      </c>
      <c r="K38" s="7">
        <f t="shared" ref="K38" si="294">IF(H38="Server",-E38*AlcoholTipPercentage,0)+IF(H38="Bartender",HLOOKUP(G38,TuesBarTable,5)*B38)</f>
        <v>0</v>
      </c>
      <c r="L38" s="7" t="str" cm="1">
        <f t="array" ref="L38">IFERROR(_xlfn.IFS(HLOOKUP(G38,TuesFoodTable,2)=0,0,OR(H38="Server",H38="Bartender"),-D38*FoodTipPercentage,OR(H38="Expo",H38="Food Runner"),HLOOKUP(G38,TuesFoodTable,5)*B38,H38="Host",0),"")</f>
        <v/>
      </c>
      <c r="M38" s="7" t="str" cm="1">
        <f t="array" ref="M38">IFERROR(_xlfn.IFS(HLOOKUP(G38,TuesHostTable,2)=0,0,OR(H38="Server",H38="Bartender"),-F38*HostTipPercentage,H38="Host",HLOOKUP(G38,TuesHostTable,5)*B38,OR(H38="Expo",H38="Food Runner"),0),"")</f>
        <v/>
      </c>
      <c r="N38" s="16"/>
      <c r="O38" s="17"/>
      <c r="P38" s="16"/>
      <c r="Q38" s="16"/>
      <c r="R38" s="16"/>
      <c r="S38" s="42">
        <f t="shared" si="221"/>
        <v>0</v>
      </c>
      <c r="T38" s="16"/>
      <c r="U38" s="16"/>
      <c r="V38" s="42">
        <f t="shared" ref="V38" si="295">IF(U38="Bartender",(HLOOKUP(T38,ThursFoodTable,6)*O38)+(HLOOKUP(T38,ThursHostTable,6)*O38)+X38,SUM(X38,Y38,Z38))</f>
        <v>0</v>
      </c>
      <c r="W38" s="42">
        <f t="shared" ref="W38" si="296">IFERROR(IF(U38="Bartender",(HLOOKUP(T38,ThursBarTable,6)*O38)+V38,P38+V38),"")</f>
        <v>0</v>
      </c>
      <c r="X38" s="7">
        <f t="shared" ref="X38" si="297">IF(U38="Server",-R38*AlcoholTipPercentage,0)+IF(U38="Bartender",HLOOKUP(T38,ThursBarTable,5)*O38)</f>
        <v>0</v>
      </c>
      <c r="Y38" s="7" t="str" cm="1">
        <f t="array" ref="Y38">IFERROR(_xlfn.IFS(HLOOKUP(T38,ThursFoodTable,2)=0,0,OR(U38="Server",U38="Bartender"),-Q38*FoodTipPercentage,OR(U38="Expo",U38="Food Runner"),HLOOKUP(T38,ThursFoodTable,5)*O38,U38="Host",0),"")</f>
        <v/>
      </c>
      <c r="Z38" s="7" t="str" cm="1">
        <f t="array" ref="Z38">IFERROR(_xlfn.IFS(HLOOKUP(T38,ThursHostTable,2)=0,0,OR(U38="Server",U38="Bartender"),-S38*HostTipPercentage,U38="Host",HLOOKUP(T38,ThursHostTable,5)*O38,OR(U38="Expo",U38="Food Runner"),0),"")</f>
        <v/>
      </c>
      <c r="AA38" s="9" t="s">
        <v>31</v>
      </c>
      <c r="AB38" s="10">
        <v>1</v>
      </c>
      <c r="AC38" s="9">
        <v>317.57</v>
      </c>
      <c r="AD38" s="9">
        <v>645</v>
      </c>
      <c r="AE38" s="9">
        <v>469.4</v>
      </c>
      <c r="AF38" s="38">
        <f t="shared" si="225"/>
        <v>1114.4000000000001</v>
      </c>
      <c r="AG38" s="9" t="s">
        <v>20</v>
      </c>
      <c r="AH38" s="9" t="s">
        <v>18</v>
      </c>
      <c r="AI38" s="38">
        <f t="shared" ref="AI38" ca="1" si="298">IF(AH38="Bartender",(HLOOKUP(AG38,SatFoodTable,6)*AB38)+(HLOOKUP(AG38,SatHostTable,6)*AB38)+AK38,SUM(AK38,AL38,AM38))</f>
        <v>-25.225999999999999</v>
      </c>
      <c r="AJ38" s="38">
        <f t="shared" ref="AJ38" ca="1" si="299">IFERROR(IF(AH38="Bartender",(HLOOKUP(AG38,SatBarTable,6)*AB38)+AI38,AC38+AI38),"")</f>
        <v>292.34399999999999</v>
      </c>
      <c r="AK38" s="7">
        <f t="shared" ref="AK38" si="300">IF(AH38="Server",-AE38*AlcoholTipPercentage,0)+IF(AH38="Bartender",HLOOKUP(AG38,SatBarTable,5)*AB38)</f>
        <v>-14.081999999999999</v>
      </c>
      <c r="AL38" s="7" cm="1">
        <f t="array" ref="AL38">IFERROR(_xlfn.IFS(HLOOKUP(AG38,SatFoodTable,2)=0,0,OR(AH38="Server",AH38="Bartender"),-AD38*FoodTipPercentage,OR(AH38="Expo",AH38="Food Runner"),HLOOKUP(AG38,SatFoodTable,5)*AB38,AH38="Host",0),"")</f>
        <v>0</v>
      </c>
      <c r="AM38" s="7" cm="1">
        <f t="array" aca="1" ref="AM38" ca="1">IFERROR(_xlfn.IFS(HLOOKUP(AG38,SatHostTable,2)=0,0,OR(AH38="Server",AH38="Bartender"),-AF38*HostTipPercentage,AH38="Host",HLOOKUP(AG38,SatHostTable,5)*AB38,OR(AH38="Expo",AH38="Food Runner"),0),"")</f>
        <v>-11.144000000000002</v>
      </c>
      <c r="AN38" s="18" t="s">
        <v>21</v>
      </c>
      <c r="AO38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2</v>
      </c>
      <c r="AP38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46.52</v>
      </c>
      <c r="AQ38" s="7">
        <f ca="1">IFERROR(Table424789101112131418212325272326[[#This Row],[Weekly Tips]]/Table424789101112131418212325272326[[#This Row],[Hours]],0)</f>
        <v>23.26</v>
      </c>
      <c r="AR38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119.5</v>
      </c>
      <c r="AS38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59</v>
      </c>
      <c r="AT38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178.5</v>
      </c>
      <c r="AU38" s="7" t="s">
        <v>15</v>
      </c>
    </row>
    <row r="39" spans="1:47" ht="16" x14ac:dyDescent="0.2">
      <c r="A39" s="11"/>
      <c r="B39" s="12"/>
      <c r="C39" s="11"/>
      <c r="D39" s="11"/>
      <c r="E39" s="11"/>
      <c r="F39" s="37">
        <f t="shared" si="217"/>
        <v>0</v>
      </c>
      <c r="G39" s="11"/>
      <c r="H39" s="11"/>
      <c r="I39" s="2">
        <f t="shared" ref="I39" si="301">IF(H39="Bartender",(HLOOKUP(G39,TuesFoodTable,6)*B39)+(HLOOKUP(G39,TuesHostTable,6)*B39)+K39,SUM(K39,L39,M39))</f>
        <v>0</v>
      </c>
      <c r="J39" s="37">
        <f t="shared" ref="J39" si="302">IFERROR(IF(H39="Bartender",(HLOOKUP(G39,TuesBarTable,6)*B39)+I39,C39+I39),"")</f>
        <v>0</v>
      </c>
      <c r="K39" s="7">
        <f t="shared" ref="K39" si="303">IF(H39="Server",-E39*AlcoholTipPercentage,0)+IF(H39="Bartender",HLOOKUP(G39,TuesBarTable,5)*B39)</f>
        <v>0</v>
      </c>
      <c r="L39" s="7" t="str" cm="1">
        <f t="array" ref="L39">IFERROR(_xlfn.IFS(HLOOKUP(G39,TuesFoodTable,2)=0,0,OR(H39="Server",H39="Bartender"),-D39*FoodTipPercentage,OR(H39="Expo",H39="Food Runner"),HLOOKUP(G39,TuesFoodTable,5)*B39,H39="Host",0),"")</f>
        <v/>
      </c>
      <c r="M39" s="7" t="str" cm="1">
        <f t="array" ref="M39">IFERROR(_xlfn.IFS(HLOOKUP(G39,TuesHostTable,2)=0,0,OR(H39="Server",H39="Bartender"),-F39*HostTipPercentage,H39="Host",HLOOKUP(G39,TuesHostTable,5)*B39,OR(H39="Expo",H39="Food Runner"),0),"")</f>
        <v/>
      </c>
      <c r="N39" s="16"/>
      <c r="O39" s="17"/>
      <c r="P39" s="16"/>
      <c r="Q39" s="16"/>
      <c r="R39" s="16"/>
      <c r="S39" s="42">
        <f t="shared" si="221"/>
        <v>0</v>
      </c>
      <c r="T39" s="16"/>
      <c r="U39" s="16"/>
      <c r="V39" s="42">
        <f t="shared" ref="V39" si="304">IF(U39="Bartender",(HLOOKUP(T39,ThursFoodTable,6)*O39)+(HLOOKUP(T39,ThursHostTable,6)*O39)+X39,SUM(X39,Y39,Z39))</f>
        <v>0</v>
      </c>
      <c r="W39" s="42">
        <f t="shared" ref="W39" si="305">IFERROR(IF(U39="Bartender",(HLOOKUP(T39,ThursBarTable,6)*O39)+V39,P39+V39),"")</f>
        <v>0</v>
      </c>
      <c r="X39" s="7">
        <f t="shared" ref="X39" si="306">IF(U39="Server",-R39*AlcoholTipPercentage,0)+IF(U39="Bartender",HLOOKUP(T39,ThursBarTable,5)*O39)</f>
        <v>0</v>
      </c>
      <c r="Y39" s="7" t="str" cm="1">
        <f t="array" ref="Y39">IFERROR(_xlfn.IFS(HLOOKUP(T39,ThursFoodTable,2)=0,0,OR(U39="Server",U39="Bartender"),-Q39*FoodTipPercentage,OR(U39="Expo",U39="Food Runner"),HLOOKUP(T39,ThursFoodTable,5)*O39,U39="Host",0),"")</f>
        <v/>
      </c>
      <c r="Z39" s="7" t="str" cm="1">
        <f t="array" ref="Z39">IFERROR(_xlfn.IFS(HLOOKUP(T39,ThursHostTable,2)=0,0,OR(U39="Server",U39="Bartender"),-S39*HostTipPercentage,U39="Host",HLOOKUP(T39,ThursHostTable,5)*O39,OR(U39="Expo",U39="Food Runner"),0),"")</f>
        <v/>
      </c>
      <c r="AA39" s="9" t="s">
        <v>23</v>
      </c>
      <c r="AB39" s="10">
        <v>1</v>
      </c>
      <c r="AC39" s="9"/>
      <c r="AD39" s="9"/>
      <c r="AE39" s="9"/>
      <c r="AF39" s="38">
        <f t="shared" si="225"/>
        <v>0</v>
      </c>
      <c r="AG39" s="9" t="s">
        <v>20</v>
      </c>
      <c r="AH39" s="9" t="s">
        <v>30</v>
      </c>
      <c r="AI39" s="38">
        <f t="shared" ref="AI39" ca="1" si="307">IF(AH39="Bartender",(HLOOKUP(AG39,SatFoodTable,6)*AB39)+(HLOOKUP(AG39,SatHostTable,6)*AB39)+AK39,SUM(AK39,AL39,AM39))</f>
        <v>51.872000000000007</v>
      </c>
      <c r="AJ39" s="38">
        <f t="shared" ref="AJ39" ca="1" si="308">IFERROR(IF(AH39="Bartender",(HLOOKUP(AG39,SatBarTable,6)*AB39)+AI39,AC39+AI39),"")</f>
        <v>51.872000000000007</v>
      </c>
      <c r="AK39" s="7">
        <f t="shared" ref="AK39" si="309">IF(AH39="Server",-AE39*AlcoholTipPercentage,0)+IF(AH39="Bartender",HLOOKUP(AG39,SatBarTable,5)*AB39)</f>
        <v>0</v>
      </c>
      <c r="AL39" s="7" cm="1">
        <f t="array" ref="AL39">IFERROR(_xlfn.IFS(HLOOKUP(AG39,SatFoodTable,2)=0,0,OR(AH39="Server",AH39="Bartender"),-AD39*FoodTipPercentage,OR(AH39="Expo",AH39="Food Runner"),HLOOKUP(AG39,SatFoodTable,5)*AB39,AH39="Host",0),"")</f>
        <v>0</v>
      </c>
      <c r="AM39" s="7" cm="1">
        <f t="array" aca="1" ref="AM39" ca="1">IFERROR(_xlfn.IFS(HLOOKUP(AG39,SatHostTable,2)=0,0,OR(AH39="Server",AH39="Bartender"),-AF39*HostTipPercentage,AH39="Host",HLOOKUP(AG39,SatHostTable,5)*AB39,OR(AH39="Expo",AH39="Food Runner"),0),"")</f>
        <v>51.872000000000007</v>
      </c>
      <c r="AN39" s="18" t="s">
        <v>27</v>
      </c>
      <c r="AO39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2</v>
      </c>
      <c r="AP39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361.38199999999995</v>
      </c>
      <c r="AQ39" s="7">
        <f ca="1">IFERROR(Table424789101112131418212325272326[[#This Row],[Weekly Tips]]/Table424789101112131418212325272326[[#This Row],[Hours]],0)</f>
        <v>180.69099999999997</v>
      </c>
      <c r="AR39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757.5</v>
      </c>
      <c r="AS39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523.5</v>
      </c>
      <c r="AT39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1281</v>
      </c>
    </row>
    <row r="40" spans="1:47" ht="16" x14ac:dyDescent="0.2">
      <c r="A40" s="11"/>
      <c r="B40" s="12"/>
      <c r="C40" s="11"/>
      <c r="D40" s="11"/>
      <c r="E40" s="11"/>
      <c r="F40" s="37">
        <f t="shared" si="217"/>
        <v>0</v>
      </c>
      <c r="G40" s="11"/>
      <c r="H40" s="11"/>
      <c r="I40" s="2">
        <f t="shared" ref="I40" si="310">IF(H40="Bartender",(HLOOKUP(G40,TuesFoodTable,6)*B40)+(HLOOKUP(G40,TuesHostTable,6)*B40)+K40,SUM(K40,L40,M40))</f>
        <v>0</v>
      </c>
      <c r="J40" s="37">
        <f t="shared" ref="J40" si="311">IFERROR(IF(H40="Bartender",(HLOOKUP(G40,TuesBarTable,6)*B40)+I40,C40+I40),"")</f>
        <v>0</v>
      </c>
      <c r="K40" s="7">
        <f t="shared" ref="K40" si="312">IF(H40="Server",-E40*AlcoholTipPercentage,0)+IF(H40="Bartender",HLOOKUP(G40,TuesBarTable,5)*B40)</f>
        <v>0</v>
      </c>
      <c r="L40" s="7" t="str" cm="1">
        <f t="array" ref="L40">IFERROR(_xlfn.IFS(HLOOKUP(G40,TuesFoodTable,2)=0,0,OR(H40="Server",H40="Bartender"),-D40*FoodTipPercentage,OR(H40="Expo",H40="Food Runner"),HLOOKUP(G40,TuesFoodTable,5)*B40,H40="Host",0),"")</f>
        <v/>
      </c>
      <c r="M40" s="7" t="str" cm="1">
        <f t="array" ref="M40">IFERROR(_xlfn.IFS(HLOOKUP(G40,TuesHostTable,2)=0,0,OR(H40="Server",H40="Bartender"),-F40*HostTipPercentage,H40="Host",HLOOKUP(G40,TuesHostTable,5)*B40,OR(H40="Expo",H40="Food Runner"),0),"")</f>
        <v/>
      </c>
      <c r="N40" s="16"/>
      <c r="O40" s="17"/>
      <c r="P40" s="16"/>
      <c r="Q40" s="16"/>
      <c r="R40" s="16"/>
      <c r="S40" s="42">
        <f t="shared" si="221"/>
        <v>0</v>
      </c>
      <c r="T40" s="16"/>
      <c r="U40" s="16"/>
      <c r="V40" s="42">
        <f t="shared" ref="V40" si="313">IF(U40="Bartender",(HLOOKUP(T40,ThursFoodTable,6)*O40)+(HLOOKUP(T40,ThursHostTable,6)*O40)+X40,SUM(X40,Y40,Z40))</f>
        <v>0</v>
      </c>
      <c r="W40" s="42">
        <f t="shared" ref="W40" si="314">IFERROR(IF(U40="Bartender",(HLOOKUP(T40,ThursBarTable,6)*O40)+V40,P40+V40),"")</f>
        <v>0</v>
      </c>
      <c r="X40" s="7">
        <f t="shared" ref="X40" si="315">IF(U40="Server",-R40*AlcoholTipPercentage,0)+IF(U40="Bartender",HLOOKUP(T40,ThursBarTable,5)*O40)</f>
        <v>0</v>
      </c>
      <c r="Y40" s="7" t="str" cm="1">
        <f t="array" ref="Y40">IFERROR(_xlfn.IFS(HLOOKUP(T40,ThursFoodTable,2)=0,0,OR(U40="Server",U40="Bartender"),-Q40*FoodTipPercentage,OR(U40="Expo",U40="Food Runner"),HLOOKUP(T40,ThursFoodTable,5)*O40,U40="Host",0),"")</f>
        <v/>
      </c>
      <c r="Z40" s="7" t="str" cm="1">
        <f t="array" ref="Z40">IFERROR(_xlfn.IFS(HLOOKUP(T40,ThursHostTable,2)=0,0,OR(U40="Server",U40="Bartender"),-S40*HostTipPercentage,U40="Host",HLOOKUP(T40,ThursHostTable,5)*O40,OR(U40="Expo",U40="Food Runner"),0),"")</f>
        <v/>
      </c>
      <c r="AA40" s="9" t="s">
        <v>27</v>
      </c>
      <c r="AB40" s="10">
        <v>1</v>
      </c>
      <c r="AC40" s="9">
        <v>252.04</v>
      </c>
      <c r="AD40" s="9">
        <v>538</v>
      </c>
      <c r="AE40" s="9">
        <v>363.3</v>
      </c>
      <c r="AF40" s="38">
        <f t="shared" si="225"/>
        <v>901.3</v>
      </c>
      <c r="AG40" s="9" t="s">
        <v>20</v>
      </c>
      <c r="AH40" s="9" t="s">
        <v>18</v>
      </c>
      <c r="AI40" s="38">
        <f t="shared" ref="AI40" ca="1" si="316">IF(AH40="Bartender",(HLOOKUP(AG40,SatFoodTable,6)*AB40)+(HLOOKUP(AG40,SatHostTable,6)*AB40)+AK40,SUM(AK40,AL40,AM40))</f>
        <v>-19.911999999999999</v>
      </c>
      <c r="AJ40" s="38">
        <f t="shared" ref="AJ40" ca="1" si="317">IFERROR(IF(AH40="Bartender",(HLOOKUP(AG40,SatBarTable,6)*AB40)+AI40,AC40+AI40),"")</f>
        <v>232.12799999999999</v>
      </c>
      <c r="AK40" s="7">
        <f t="shared" ref="AK40" si="318">IF(AH40="Server",-AE40*AlcoholTipPercentage,0)+IF(AH40="Bartender",HLOOKUP(AG40,SatBarTable,5)*AB40)</f>
        <v>-10.898999999999999</v>
      </c>
      <c r="AL40" s="7" cm="1">
        <f t="array" ref="AL40">IFERROR(_xlfn.IFS(HLOOKUP(AG40,SatFoodTable,2)=0,0,OR(AH40="Server",AH40="Bartender"),-AD40*FoodTipPercentage,OR(AH40="Expo",AH40="Food Runner"),HLOOKUP(AG40,SatFoodTable,5)*AB40,AH40="Host",0),"")</f>
        <v>0</v>
      </c>
      <c r="AM40" s="7" cm="1">
        <f t="array" aca="1" ref="AM40" ca="1">IFERROR(_xlfn.IFS(HLOOKUP(AG40,SatHostTable,2)=0,0,OR(AH40="Server",AH40="Bartender"),-AF40*HostTipPercentage,AH40="Host",HLOOKUP(AG40,SatHostTable,5)*AB40,OR(AH40="Expo",AH40="Food Runner"),0),"")</f>
        <v>-9.0129999999999999</v>
      </c>
      <c r="AN40" s="18" t="s">
        <v>32</v>
      </c>
      <c r="AO40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2</v>
      </c>
      <c r="AP40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227.05760000000001</v>
      </c>
      <c r="AQ40" s="7">
        <f ca="1">IFERROR(Table424789101112131418212325272326[[#This Row],[Weekly Tips]]/Table424789101112131418212325272326[[#This Row],[Hours]],0)</f>
        <v>113.5288</v>
      </c>
      <c r="AR40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0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0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1" spans="1:47" ht="16" x14ac:dyDescent="0.2">
      <c r="A41" s="11"/>
      <c r="B41" s="12"/>
      <c r="C41" s="11"/>
      <c r="D41" s="11"/>
      <c r="E41" s="11"/>
      <c r="F41" s="37">
        <f t="shared" si="217"/>
        <v>0</v>
      </c>
      <c r="G41" s="11"/>
      <c r="H41" s="11"/>
      <c r="I41" s="2">
        <f t="shared" ref="I41" si="319">IF(H41="Bartender",(HLOOKUP(G41,TuesFoodTable,6)*B41)+(HLOOKUP(G41,TuesHostTable,6)*B41)+K41,SUM(K41,L41,M41))</f>
        <v>0</v>
      </c>
      <c r="J41" s="37">
        <f t="shared" ref="J41" si="320">IFERROR(IF(H41="Bartender",(HLOOKUP(G41,TuesBarTable,6)*B41)+I41,C41+I41),"")</f>
        <v>0</v>
      </c>
      <c r="K41" s="7">
        <f t="shared" ref="K41" si="321">IF(H41="Server",-E41*AlcoholTipPercentage,0)+IF(H41="Bartender",HLOOKUP(G41,TuesBarTable,5)*B41)</f>
        <v>0</v>
      </c>
      <c r="L41" s="7" t="str" cm="1">
        <f t="array" ref="L41">IFERROR(_xlfn.IFS(HLOOKUP(G41,TuesFoodTable,2)=0,0,OR(H41="Server",H41="Bartender"),-D41*FoodTipPercentage,OR(H41="Expo",H41="Food Runner"),HLOOKUP(G41,TuesFoodTable,5)*B41,H41="Host",0),"")</f>
        <v/>
      </c>
      <c r="M41" s="7" t="str" cm="1">
        <f t="array" ref="M41">IFERROR(_xlfn.IFS(HLOOKUP(G41,TuesHostTable,2)=0,0,OR(H41="Server",H41="Bartender"),-F41*HostTipPercentage,H41="Host",HLOOKUP(G41,TuesHostTable,5)*B41,OR(H41="Expo",H41="Food Runner"),0),"")</f>
        <v/>
      </c>
      <c r="N41" s="16"/>
      <c r="O41" s="17"/>
      <c r="P41" s="16"/>
      <c r="Q41" s="16"/>
      <c r="R41" s="16"/>
      <c r="S41" s="42">
        <f t="shared" si="221"/>
        <v>0</v>
      </c>
      <c r="T41" s="16"/>
      <c r="U41" s="16"/>
      <c r="V41" s="42">
        <f t="shared" ref="V41" si="322">IF(U41="Bartender",(HLOOKUP(T41,ThursFoodTable,6)*O41)+(HLOOKUP(T41,ThursHostTable,6)*O41)+X41,SUM(X41,Y41,Z41))</f>
        <v>0</v>
      </c>
      <c r="W41" s="42">
        <f t="shared" ref="W41" si="323">IFERROR(IF(U41="Bartender",(HLOOKUP(T41,ThursBarTable,6)*O41)+V41,P41+V41),"")</f>
        <v>0</v>
      </c>
      <c r="X41" s="7">
        <f t="shared" ref="X41" si="324">IF(U41="Server",-R41*AlcoholTipPercentage,0)+IF(U41="Bartender",HLOOKUP(T41,ThursBarTable,5)*O41)</f>
        <v>0</v>
      </c>
      <c r="Y41" s="7" t="str" cm="1">
        <f t="array" ref="Y41">IFERROR(_xlfn.IFS(HLOOKUP(T41,ThursFoodTable,2)=0,0,OR(U41="Server",U41="Bartender"),-Q41*FoodTipPercentage,OR(U41="Expo",U41="Food Runner"),HLOOKUP(T41,ThursFoodTable,5)*O41,U41="Host",0),"")</f>
        <v/>
      </c>
      <c r="Z41" s="7" t="str" cm="1">
        <f t="array" ref="Z41">IFERROR(_xlfn.IFS(HLOOKUP(T41,ThursHostTable,2)=0,0,OR(U41="Server",U41="Bartender"),-S41*HostTipPercentage,U41="Host",HLOOKUP(T41,ThursHostTable,5)*O41,OR(U41="Expo",U41="Food Runner"),0),"")</f>
        <v/>
      </c>
      <c r="AA41" s="9"/>
      <c r="AB41" s="10"/>
      <c r="AC41" s="9"/>
      <c r="AD41" s="9"/>
      <c r="AE41" s="9"/>
      <c r="AF41" s="38">
        <f t="shared" si="225"/>
        <v>0</v>
      </c>
      <c r="AG41" s="9"/>
      <c r="AH41" s="9"/>
      <c r="AI41" s="38">
        <f t="shared" ref="AI41" si="325">IF(AH41="Bartender",(HLOOKUP(AG41,SatFoodTable,6)*AB41)+(HLOOKUP(AG41,SatHostTable,6)*AB41)+AK41,SUM(AK41,AL41,AM41))</f>
        <v>0</v>
      </c>
      <c r="AJ41" s="38">
        <f t="shared" ref="AJ41" si="326">IFERROR(IF(AH41="Bartender",(HLOOKUP(AG41,SatBarTable,6)*AB41)+AI41,AC41+AI41),"")</f>
        <v>0</v>
      </c>
      <c r="AK41" s="7">
        <f t="shared" ref="AK41" si="327">IF(AH41="Server",-AE41*AlcoholTipPercentage,0)+IF(AH41="Bartender",HLOOKUP(AG41,SatBarTable,5)*AB41)</f>
        <v>0</v>
      </c>
      <c r="AL41" s="7" t="str" cm="1">
        <f t="array" ref="AL41">IFERROR(_xlfn.IFS(HLOOKUP(AG41,SatFoodTable,2)=0,0,OR(AH41="Server",AH41="Bartender"),-AD41*FoodTipPercentage,OR(AH41="Expo",AH41="Food Runner"),HLOOKUP(AG41,SatFoodTable,5)*AB41,AH41="Host",0),"")</f>
        <v/>
      </c>
      <c r="AM41" s="7" t="str" cm="1">
        <f t="array" ref="AM41">IFERROR(_xlfn.IFS(HLOOKUP(AG41,SatHostTable,2)=0,0,OR(AH41="Server",AH41="Bartender"),-AF41*HostTipPercentage,AH41="Host",HLOOKUP(AG41,SatHostTable,5)*AB41,OR(AH41="Expo",AH41="Food Runner"),0),"")</f>
        <v/>
      </c>
      <c r="AN41" s="18" t="s">
        <v>28</v>
      </c>
      <c r="AO41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1</v>
      </c>
      <c r="AP41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110.77199999999999</v>
      </c>
      <c r="AQ41" s="7">
        <f ca="1">IFERROR(Table424789101112131418212325272326[[#This Row],[Weekly Tips]]/Table424789101112131418212325272326[[#This Row],[Hours]],0)</f>
        <v>110.77199999999999</v>
      </c>
      <c r="AR41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491</v>
      </c>
      <c r="AS41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291.45</v>
      </c>
      <c r="AT41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782.45</v>
      </c>
      <c r="AU41" s="7" t="s">
        <v>33</v>
      </c>
    </row>
    <row r="42" spans="1:47" ht="16" x14ac:dyDescent="0.2">
      <c r="A42" s="11"/>
      <c r="B42" s="12"/>
      <c r="C42" s="11"/>
      <c r="D42" s="11"/>
      <c r="E42" s="11"/>
      <c r="F42" s="37">
        <f t="shared" si="217"/>
        <v>0</v>
      </c>
      <c r="G42" s="11"/>
      <c r="H42" s="11"/>
      <c r="I42" s="2">
        <f t="shared" ref="I42" si="328">IF(H42="Bartender",(HLOOKUP(G42,TuesFoodTable,6)*B42)+(HLOOKUP(G42,TuesHostTable,6)*B42)+K42,SUM(K42,L42,M42))</f>
        <v>0</v>
      </c>
      <c r="J42" s="37">
        <f t="shared" ref="J42" si="329">IFERROR(IF(H42="Bartender",(HLOOKUP(G42,TuesBarTable,6)*B42)+I42,C42+I42),"")</f>
        <v>0</v>
      </c>
      <c r="K42" s="7">
        <f t="shared" ref="K42" si="330">IF(H42="Server",-E42*AlcoholTipPercentage,0)+IF(H42="Bartender",HLOOKUP(G42,TuesBarTable,5)*B42)</f>
        <v>0</v>
      </c>
      <c r="L42" s="7" t="str" cm="1">
        <f t="array" ref="L42">IFERROR(_xlfn.IFS(HLOOKUP(G42,TuesFoodTable,2)=0,0,OR(H42="Server",H42="Bartender"),-D42*FoodTipPercentage,OR(H42="Expo",H42="Food Runner"),HLOOKUP(G42,TuesFoodTable,5)*B42,H42="Host",0),"")</f>
        <v/>
      </c>
      <c r="M42" s="7" t="str" cm="1">
        <f t="array" ref="M42">IFERROR(_xlfn.IFS(HLOOKUP(G42,TuesHostTable,2)=0,0,OR(H42="Server",H42="Bartender"),-F42*HostTipPercentage,H42="Host",HLOOKUP(G42,TuesHostTable,5)*B42,OR(H42="Expo",H42="Food Runner"),0),"")</f>
        <v/>
      </c>
      <c r="N42" s="16"/>
      <c r="O42" s="17"/>
      <c r="P42" s="16"/>
      <c r="Q42" s="16"/>
      <c r="R42" s="16"/>
      <c r="S42" s="42">
        <f t="shared" si="221"/>
        <v>0</v>
      </c>
      <c r="T42" s="16"/>
      <c r="U42" s="16"/>
      <c r="V42" s="42">
        <f t="shared" ref="V42" si="331">IF(U42="Bartender",(HLOOKUP(T42,ThursFoodTable,6)*O42)+(HLOOKUP(T42,ThursHostTable,6)*O42)+X42,SUM(X42,Y42,Z42))</f>
        <v>0</v>
      </c>
      <c r="W42" s="42">
        <f t="shared" ref="W42" si="332">IFERROR(IF(U42="Bartender",(HLOOKUP(T42,ThursBarTable,6)*O42)+V42,P42+V42),"")</f>
        <v>0</v>
      </c>
      <c r="X42" s="7">
        <f t="shared" ref="X42" si="333">IF(U42="Server",-R42*AlcoholTipPercentage,0)+IF(U42="Bartender",HLOOKUP(T42,ThursBarTable,5)*O42)</f>
        <v>0</v>
      </c>
      <c r="Y42" s="7" t="str" cm="1">
        <f t="array" ref="Y42">IFERROR(_xlfn.IFS(HLOOKUP(T42,ThursFoodTable,2)=0,0,OR(U42="Server",U42="Bartender"),-Q42*FoodTipPercentage,OR(U42="Expo",U42="Food Runner"),HLOOKUP(T42,ThursFoodTable,5)*O42,U42="Host",0),"")</f>
        <v/>
      </c>
      <c r="Z42" s="7" t="str" cm="1">
        <f t="array" ref="Z42">IFERROR(_xlfn.IFS(HLOOKUP(T42,ThursHostTable,2)=0,0,OR(U42="Server",U42="Bartender"),-S42*HostTipPercentage,U42="Host",HLOOKUP(T42,ThursHostTable,5)*O42,OR(U42="Expo",U42="Food Runner"),0),"")</f>
        <v/>
      </c>
      <c r="AA42" s="9"/>
      <c r="AB42" s="10"/>
      <c r="AC42" s="9"/>
      <c r="AD42" s="9"/>
      <c r="AE42" s="9"/>
      <c r="AF42" s="38">
        <f t="shared" si="225"/>
        <v>0</v>
      </c>
      <c r="AG42" s="9"/>
      <c r="AH42" s="9"/>
      <c r="AI42" s="38">
        <f t="shared" ref="AI42" si="334">IF(AH42="Bartender",(HLOOKUP(AG42,SatFoodTable,6)*AB42)+(HLOOKUP(AG42,SatHostTable,6)*AB42)+AK42,SUM(AK42,AL42,AM42))</f>
        <v>0</v>
      </c>
      <c r="AJ42" s="38">
        <f t="shared" ref="AJ42" si="335">IFERROR(IF(AH42="Bartender",(HLOOKUP(AG42,SatBarTable,6)*AB42)+AI42,AC42+AI42),"")</f>
        <v>0</v>
      </c>
      <c r="AK42" s="7">
        <f t="shared" ref="AK42" si="336">IF(AH42="Server",-AE42*AlcoholTipPercentage,0)+IF(AH42="Bartender",HLOOKUP(AG42,SatBarTable,5)*AB42)</f>
        <v>0</v>
      </c>
      <c r="AL42" s="7" t="str" cm="1">
        <f t="array" ref="AL42">IFERROR(_xlfn.IFS(HLOOKUP(AG42,SatFoodTable,2)=0,0,OR(AH42="Server",AH42="Bartender"),-AD42*FoodTipPercentage,OR(AH42="Expo",AH42="Food Runner"),HLOOKUP(AG42,SatFoodTable,5)*AB42,AH42="Host",0),"")</f>
        <v/>
      </c>
      <c r="AM42" s="7" t="str" cm="1">
        <f t="array" ref="AM42">IFERROR(_xlfn.IFS(HLOOKUP(AG42,SatHostTable,2)=0,0,OR(AH42="Server",AH42="Bartender"),-AF42*HostTipPercentage,AH42="Host",HLOOKUP(AG42,SatHostTable,5)*AB42,OR(AH42="Expo",AH42="Food Runner"),0),"")</f>
        <v/>
      </c>
      <c r="AN42" s="18" t="s">
        <v>25</v>
      </c>
      <c r="AO42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1</v>
      </c>
      <c r="AP42" s="20">
        <f ca="1"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27.190000000000005</v>
      </c>
      <c r="AQ42" s="7">
        <f ca="1">IFERROR(Table424789101112131418212325272326[[#This Row],[Weekly Tips]]/Table424789101112131418212325272326[[#This Row],[Hours]],0)</f>
        <v>27.190000000000005</v>
      </c>
      <c r="AR42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2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2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3" spans="1:47" ht="16" x14ac:dyDescent="0.2">
      <c r="A43" s="11"/>
      <c r="B43" s="12"/>
      <c r="C43" s="11"/>
      <c r="D43" s="11"/>
      <c r="E43" s="11"/>
      <c r="F43" s="37">
        <f t="shared" si="217"/>
        <v>0</v>
      </c>
      <c r="G43" s="11"/>
      <c r="H43" s="11"/>
      <c r="I43" s="2">
        <f t="shared" ref="I43" si="337">IF(H43="Bartender",(HLOOKUP(G43,TuesFoodTable,6)*B43)+(HLOOKUP(G43,TuesHostTable,6)*B43)+K43,SUM(K43,L43,M43))</f>
        <v>0</v>
      </c>
      <c r="J43" s="37">
        <f t="shared" ref="J43" si="338">IFERROR(IF(H43="Bartender",(HLOOKUP(G43,TuesBarTable,6)*B43)+I43,C43+I43),"")</f>
        <v>0</v>
      </c>
      <c r="K43" s="7">
        <f t="shared" ref="K43" si="339">IF(H43="Server",-E43*AlcoholTipPercentage,0)+IF(H43="Bartender",HLOOKUP(G43,TuesBarTable,5)*B43)</f>
        <v>0</v>
      </c>
      <c r="L43" s="7" t="str" cm="1">
        <f t="array" ref="L43">IFERROR(_xlfn.IFS(HLOOKUP(G43,TuesFoodTable,2)=0,0,OR(H43="Server",H43="Bartender"),-D43*FoodTipPercentage,OR(H43="Expo",H43="Food Runner"),HLOOKUP(G43,TuesFoodTable,5)*B43,H43="Host",0),"")</f>
        <v/>
      </c>
      <c r="M43" s="7" t="str" cm="1">
        <f t="array" ref="M43">IFERROR(_xlfn.IFS(HLOOKUP(G43,TuesHostTable,2)=0,0,OR(H43="Server",H43="Bartender"),-F43*HostTipPercentage,H43="Host",HLOOKUP(G43,TuesHostTable,5)*B43,OR(H43="Expo",H43="Food Runner"),0),"")</f>
        <v/>
      </c>
      <c r="N43" s="16"/>
      <c r="O43" s="17"/>
      <c r="P43" s="16"/>
      <c r="Q43" s="16"/>
      <c r="R43" s="16"/>
      <c r="S43" s="42">
        <f t="shared" si="221"/>
        <v>0</v>
      </c>
      <c r="T43" s="16"/>
      <c r="U43" s="16"/>
      <c r="V43" s="42">
        <f t="shared" ref="V43" si="340">IF(U43="Bartender",(HLOOKUP(T43,ThursFoodTable,6)*O43)+(HLOOKUP(T43,ThursHostTable,6)*O43)+X43,SUM(X43,Y43,Z43))</f>
        <v>0</v>
      </c>
      <c r="W43" s="42">
        <f t="shared" ref="W43" si="341">IFERROR(IF(U43="Bartender",(HLOOKUP(T43,ThursBarTable,6)*O43)+V43,P43+V43),"")</f>
        <v>0</v>
      </c>
      <c r="X43" s="7">
        <f t="shared" ref="X43" si="342">IF(U43="Server",-R43*AlcoholTipPercentage,0)+IF(U43="Bartender",HLOOKUP(T43,ThursBarTable,5)*O43)</f>
        <v>0</v>
      </c>
      <c r="Y43" s="7" t="str" cm="1">
        <f t="array" ref="Y43">IFERROR(_xlfn.IFS(HLOOKUP(T43,ThursFoodTable,2)=0,0,OR(U43="Server",U43="Bartender"),-Q43*FoodTipPercentage,OR(U43="Expo",U43="Food Runner"),HLOOKUP(T43,ThursFoodTable,5)*O43,U43="Host",0),"")</f>
        <v/>
      </c>
      <c r="Z43" s="7" t="str" cm="1">
        <f t="array" ref="Z43">IFERROR(_xlfn.IFS(HLOOKUP(T43,ThursHostTable,2)=0,0,OR(U43="Server",U43="Bartender"),-S43*HostTipPercentage,U43="Host",HLOOKUP(T43,ThursHostTable,5)*O43,OR(U43="Expo",U43="Food Runner"),0),"")</f>
        <v/>
      </c>
      <c r="AA43" s="9"/>
      <c r="AB43" s="10"/>
      <c r="AC43" s="9"/>
      <c r="AD43" s="9"/>
      <c r="AE43" s="9"/>
      <c r="AF43" s="38">
        <f t="shared" si="225"/>
        <v>0</v>
      </c>
      <c r="AG43" s="9"/>
      <c r="AH43" s="9"/>
      <c r="AI43" s="38">
        <f t="shared" ref="AI43" si="343">IF(AH43="Bartender",(HLOOKUP(AG43,SatFoodTable,6)*AB43)+(HLOOKUP(AG43,SatHostTable,6)*AB43)+AK43,SUM(AK43,AL43,AM43))</f>
        <v>0</v>
      </c>
      <c r="AJ43" s="38">
        <f t="shared" ref="AJ43" si="344">IFERROR(IF(AH43="Bartender",(HLOOKUP(AG43,SatBarTable,6)*AB43)+AI43,AC43+AI43),"")</f>
        <v>0</v>
      </c>
      <c r="AK43" s="7">
        <f t="shared" ref="AK43" si="345">IF(AH43="Server",-AE43*AlcoholTipPercentage,0)+IF(AH43="Bartender",HLOOKUP(AG43,SatBarTable,5)*AB43)</f>
        <v>0</v>
      </c>
      <c r="AL43" s="7" t="str" cm="1">
        <f t="array" ref="AL43">IFERROR(_xlfn.IFS(HLOOKUP(AG43,SatFoodTable,2)=0,0,OR(AH43="Server",AH43="Bartender"),-AD43*FoodTipPercentage,OR(AH43="Expo",AH43="Food Runner"),HLOOKUP(AG43,SatFoodTable,5)*AB43,AH43="Host",0),"")</f>
        <v/>
      </c>
      <c r="AM43" s="7" t="str" cm="1">
        <f t="array" ref="AM43">IFERROR(_xlfn.IFS(HLOOKUP(AG43,SatHostTable,2)=0,0,OR(AH43="Server",AH43="Bartender"),-AF43*HostTipPercentage,AH43="Host",HLOOKUP(AG43,SatHostTable,5)*AB43,OR(AH43="Expo",AH43="Food Runner"),0),"")</f>
        <v/>
      </c>
      <c r="AN43" s="18" t="s">
        <v>44</v>
      </c>
      <c r="AO43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3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3" s="7">
        <f>IFERROR(Table424789101112131418212325272326[[#This Row],[Weekly Tips]]/Table424789101112131418212325272326[[#This Row],[Hours]],0)</f>
        <v>0</v>
      </c>
      <c r="AR43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3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3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4" spans="1:47" ht="16" x14ac:dyDescent="0.2">
      <c r="A44" s="11"/>
      <c r="B44" s="12"/>
      <c r="C44" s="11"/>
      <c r="D44" s="11"/>
      <c r="E44" s="11"/>
      <c r="F44" s="37">
        <f t="shared" si="217"/>
        <v>0</v>
      </c>
      <c r="G44" s="11"/>
      <c r="H44" s="11"/>
      <c r="I44" s="2">
        <f t="shared" ref="I44" si="346">IF(H44="Bartender",(HLOOKUP(G44,TuesFoodTable,6)*B44)+(HLOOKUP(G44,TuesHostTable,6)*B44)+K44,SUM(K44,L44,M44))</f>
        <v>0</v>
      </c>
      <c r="J44" s="37">
        <f t="shared" ref="J44" si="347">IFERROR(IF(H44="Bartender",(HLOOKUP(G44,TuesBarTable,6)*B44)+I44,C44+I44),"")</f>
        <v>0</v>
      </c>
      <c r="K44" s="7">
        <f t="shared" ref="K44" si="348">IF(H44="Server",-E44*AlcoholTipPercentage,0)+IF(H44="Bartender",HLOOKUP(G44,TuesBarTable,5)*B44)</f>
        <v>0</v>
      </c>
      <c r="L44" s="7" t="str" cm="1">
        <f t="array" ref="L44">IFERROR(_xlfn.IFS(HLOOKUP(G44,TuesFoodTable,2)=0,0,OR(H44="Server",H44="Bartender"),-D44*FoodTipPercentage,OR(H44="Expo",H44="Food Runner"),HLOOKUP(G44,TuesFoodTable,5)*B44,H44="Host",0),"")</f>
        <v/>
      </c>
      <c r="M44" s="7" t="str" cm="1">
        <f t="array" ref="M44">IFERROR(_xlfn.IFS(HLOOKUP(G44,TuesHostTable,2)=0,0,OR(H44="Server",H44="Bartender"),-F44*HostTipPercentage,H44="Host",HLOOKUP(G44,TuesHostTable,5)*B44,OR(H44="Expo",H44="Food Runner"),0),"")</f>
        <v/>
      </c>
      <c r="N44" s="16"/>
      <c r="O44" s="17"/>
      <c r="P44" s="16"/>
      <c r="Q44" s="16"/>
      <c r="R44" s="16"/>
      <c r="S44" s="42">
        <f t="shared" si="221"/>
        <v>0</v>
      </c>
      <c r="T44" s="16"/>
      <c r="U44" s="16"/>
      <c r="V44" s="42">
        <f t="shared" ref="V44" si="349">IF(U44="Bartender",(HLOOKUP(T44,ThursFoodTable,6)*O44)+(HLOOKUP(T44,ThursHostTable,6)*O44)+X44,SUM(X44,Y44,Z44))</f>
        <v>0</v>
      </c>
      <c r="W44" s="42">
        <f t="shared" ref="W44" si="350">IFERROR(IF(U44="Bartender",(HLOOKUP(T44,ThursBarTable,6)*O44)+V44,P44+V44),"")</f>
        <v>0</v>
      </c>
      <c r="X44" s="7">
        <f t="shared" ref="X44" si="351">IF(U44="Server",-R44*AlcoholTipPercentage,0)+IF(U44="Bartender",HLOOKUP(T44,ThursBarTable,5)*O44)</f>
        <v>0</v>
      </c>
      <c r="Y44" s="7" t="str" cm="1">
        <f t="array" ref="Y44">IFERROR(_xlfn.IFS(HLOOKUP(T44,ThursFoodTable,2)=0,0,OR(U44="Server",U44="Bartender"),-Q44*FoodTipPercentage,OR(U44="Expo",U44="Food Runner"),HLOOKUP(T44,ThursFoodTable,5)*O44,U44="Host",0),"")</f>
        <v/>
      </c>
      <c r="Z44" s="7" t="str" cm="1">
        <f t="array" ref="Z44">IFERROR(_xlfn.IFS(HLOOKUP(T44,ThursHostTable,2)=0,0,OR(U44="Server",U44="Bartender"),-S44*HostTipPercentage,U44="Host",HLOOKUP(T44,ThursHostTable,5)*O44,OR(U44="Expo",U44="Food Runner"),0),"")</f>
        <v/>
      </c>
      <c r="AA44" s="9"/>
      <c r="AB44" s="10"/>
      <c r="AC44" s="9"/>
      <c r="AD44" s="9"/>
      <c r="AE44" s="9"/>
      <c r="AF44" s="38">
        <f t="shared" si="225"/>
        <v>0</v>
      </c>
      <c r="AG44" s="9"/>
      <c r="AH44" s="9"/>
      <c r="AI44" s="38">
        <f t="shared" ref="AI44" si="352">IF(AH44="Bartender",(HLOOKUP(AG44,SatFoodTable,6)*AB44)+(HLOOKUP(AG44,SatHostTable,6)*AB44)+AK44,SUM(AK44,AL44,AM44))</f>
        <v>0</v>
      </c>
      <c r="AJ44" s="38">
        <f t="shared" ref="AJ44" si="353">IFERROR(IF(AH44="Bartender",(HLOOKUP(AG44,SatBarTable,6)*AB44)+AI44,AC44+AI44),"")</f>
        <v>0</v>
      </c>
      <c r="AK44" s="7">
        <f t="shared" ref="AK44" si="354">IF(AH44="Server",-AE44*AlcoholTipPercentage,0)+IF(AH44="Bartender",HLOOKUP(AG44,SatBarTable,5)*AB44)</f>
        <v>0</v>
      </c>
      <c r="AL44" s="7" t="str" cm="1">
        <f t="array" ref="AL44">IFERROR(_xlfn.IFS(HLOOKUP(AG44,SatFoodTable,2)=0,0,OR(AH44="Server",AH44="Bartender"),-AD44*FoodTipPercentage,OR(AH44="Expo",AH44="Food Runner"),HLOOKUP(AG44,SatFoodTable,5)*AB44,AH44="Host",0),"")</f>
        <v/>
      </c>
      <c r="AM44" s="7" t="str" cm="1">
        <f t="array" ref="AM44">IFERROR(_xlfn.IFS(HLOOKUP(AG44,SatHostTable,2)=0,0,OR(AH44="Server",AH44="Bartender"),-AF44*HostTipPercentage,AH44="Host",HLOOKUP(AG44,SatHostTable,5)*AB44,OR(AH44="Expo",AH44="Food Runner"),0),"")</f>
        <v/>
      </c>
      <c r="AN44" s="18"/>
      <c r="AO44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4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4" s="7">
        <f>IFERROR(Table424789101112131418212325272326[[#This Row],[Weekly Tips]]/Table424789101112131418212325272326[[#This Row],[Hours]],0)</f>
        <v>0</v>
      </c>
      <c r="AR44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4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4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5" spans="1:47" ht="16" x14ac:dyDescent="0.2">
      <c r="A45" s="11"/>
      <c r="B45" s="12"/>
      <c r="C45" s="11"/>
      <c r="D45" s="11"/>
      <c r="E45" s="11"/>
      <c r="F45" s="37">
        <f t="shared" si="217"/>
        <v>0</v>
      </c>
      <c r="G45" s="11"/>
      <c r="H45" s="11"/>
      <c r="I45" s="2">
        <f t="shared" ref="I45" si="355">IF(H45="Bartender",(HLOOKUP(G45,TuesFoodTable,6)*B45)+(HLOOKUP(G45,TuesHostTable,6)*B45)+K45,SUM(K45,L45,M45))</f>
        <v>0</v>
      </c>
      <c r="J45" s="37">
        <f t="shared" ref="J45" si="356">IFERROR(IF(H45="Bartender",(HLOOKUP(G45,TuesBarTable,6)*B45)+I45,C45+I45),"")</f>
        <v>0</v>
      </c>
      <c r="K45" s="7">
        <f t="shared" ref="K45" si="357">IF(H45="Server",-E45*AlcoholTipPercentage,0)+IF(H45="Bartender",HLOOKUP(G45,TuesBarTable,5)*B45)</f>
        <v>0</v>
      </c>
      <c r="L45" s="7" t="str" cm="1">
        <f t="array" ref="L45">IFERROR(_xlfn.IFS(HLOOKUP(G45,TuesFoodTable,2)=0,0,OR(H45="Server",H45="Bartender"),-D45*FoodTipPercentage,OR(H45="Expo",H45="Food Runner"),HLOOKUP(G45,TuesFoodTable,5)*B45,H45="Host",0),"")</f>
        <v/>
      </c>
      <c r="M45" s="7" t="str" cm="1">
        <f t="array" ref="M45">IFERROR(_xlfn.IFS(HLOOKUP(G45,TuesHostTable,2)=0,0,OR(H45="Server",H45="Bartender"),-F45*HostTipPercentage,H45="Host",HLOOKUP(G45,TuesHostTable,5)*B45,OR(H45="Expo",H45="Food Runner"),0),"")</f>
        <v/>
      </c>
      <c r="N45" s="16"/>
      <c r="O45" s="17"/>
      <c r="P45" s="16"/>
      <c r="Q45" s="16"/>
      <c r="R45" s="16"/>
      <c r="S45" s="42">
        <f t="shared" si="221"/>
        <v>0</v>
      </c>
      <c r="T45" s="16"/>
      <c r="U45" s="16"/>
      <c r="V45" s="42">
        <f t="shared" ref="V45" si="358">IF(U45="Bartender",(HLOOKUP(T45,ThursFoodTable,6)*O45)+(HLOOKUP(T45,ThursHostTable,6)*O45)+X45,SUM(X45,Y45,Z45))</f>
        <v>0</v>
      </c>
      <c r="W45" s="42">
        <f t="shared" ref="W45" si="359">IFERROR(IF(U45="Bartender",(HLOOKUP(T45,ThursBarTable,6)*O45)+V45,P45+V45),"")</f>
        <v>0</v>
      </c>
      <c r="X45" s="7">
        <f t="shared" ref="X45" si="360">IF(U45="Server",-R45*AlcoholTipPercentage,0)+IF(U45="Bartender",HLOOKUP(T45,ThursBarTable,5)*O45)</f>
        <v>0</v>
      </c>
      <c r="Y45" s="7" t="str" cm="1">
        <f t="array" ref="Y45">IFERROR(_xlfn.IFS(HLOOKUP(T45,ThursFoodTable,2)=0,0,OR(U45="Server",U45="Bartender"),-Q45*FoodTipPercentage,OR(U45="Expo",U45="Food Runner"),HLOOKUP(T45,ThursFoodTable,5)*O45,U45="Host",0),"")</f>
        <v/>
      </c>
      <c r="Z45" s="7" t="str" cm="1">
        <f t="array" ref="Z45">IFERROR(_xlfn.IFS(HLOOKUP(T45,ThursHostTable,2)=0,0,OR(U45="Server",U45="Bartender"),-S45*HostTipPercentage,U45="Host",HLOOKUP(T45,ThursHostTable,5)*O45,OR(U45="Expo",U45="Food Runner"),0),"")</f>
        <v/>
      </c>
      <c r="AA45" s="9"/>
      <c r="AB45" s="10"/>
      <c r="AC45" s="9"/>
      <c r="AD45" s="9"/>
      <c r="AE45" s="9"/>
      <c r="AF45" s="38">
        <f t="shared" si="225"/>
        <v>0</v>
      </c>
      <c r="AG45" s="9"/>
      <c r="AH45" s="9"/>
      <c r="AI45" s="38">
        <f t="shared" ref="AI45" si="361">IF(AH45="Bartender",(HLOOKUP(AG45,SatFoodTable,6)*AB45)+(HLOOKUP(AG45,SatHostTable,6)*AB45)+AK45,SUM(AK45,AL45,AM45))</f>
        <v>0</v>
      </c>
      <c r="AJ45" s="38">
        <f t="shared" ref="AJ45" si="362">IFERROR(IF(AH45="Bartender",(HLOOKUP(AG45,SatBarTable,6)*AB45)+AI45,AC45+AI45),"")</f>
        <v>0</v>
      </c>
      <c r="AK45" s="7">
        <f t="shared" ref="AK45" si="363">IF(AH45="Server",-AE45*AlcoholTipPercentage,0)+IF(AH45="Bartender",HLOOKUP(AG45,SatBarTable,5)*AB45)</f>
        <v>0</v>
      </c>
      <c r="AL45" s="7" t="str" cm="1">
        <f t="array" ref="AL45">IFERROR(_xlfn.IFS(HLOOKUP(AG45,SatFoodTable,2)=0,0,OR(AH45="Server",AH45="Bartender"),-AD45*FoodTipPercentage,OR(AH45="Expo",AH45="Food Runner"),HLOOKUP(AG45,SatFoodTable,5)*AB45,AH45="Host",0),"")</f>
        <v/>
      </c>
      <c r="AM45" s="7" t="str" cm="1">
        <f t="array" ref="AM45">IFERROR(_xlfn.IFS(HLOOKUP(AG45,SatHostTable,2)=0,0,OR(AH45="Server",AH45="Bartender"),-AF45*HostTipPercentage,AH45="Host",HLOOKUP(AG45,SatHostTable,5)*AB45,OR(AH45="Expo",AH45="Food Runner"),0),"")</f>
        <v/>
      </c>
      <c r="AN45" s="18"/>
      <c r="AO45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5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5" s="7">
        <f>IFERROR(Table424789101112131418212325272326[[#This Row],[Weekly Tips]]/Table424789101112131418212325272326[[#This Row],[Hours]],0)</f>
        <v>0</v>
      </c>
      <c r="AR45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5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5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6" spans="1:47" ht="16" x14ac:dyDescent="0.2">
      <c r="AK46" s="7">
        <f>SUM(AK29:AK45)</f>
        <v>3.5527136788005009E-15</v>
      </c>
      <c r="AL46" s="7">
        <f>SUM(AL29:AL45)</f>
        <v>0</v>
      </c>
      <c r="AM46" s="7">
        <f ca="1">SUM(AM29:AM45)</f>
        <v>0</v>
      </c>
      <c r="AN46" s="18"/>
      <c r="AO46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6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6" s="7">
        <f>IFERROR(Table424789101112131418212325272326[[#This Row],[Weekly Tips]]/Table424789101112131418212325272326[[#This Row],[Hours]],0)</f>
        <v>0</v>
      </c>
      <c r="AR46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6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6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7" spans="1:47" ht="16" x14ac:dyDescent="0.2">
      <c r="AN47" s="18"/>
      <c r="AO47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7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7" s="7">
        <f>IFERROR(Table424789101112131418212325272326[[#This Row],[Weekly Tips]]/Table424789101112131418212325272326[[#This Row],[Hours]],0)</f>
        <v>0</v>
      </c>
      <c r="AR47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7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7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8" spans="1:47" ht="16" x14ac:dyDescent="0.2">
      <c r="AN48" s="18"/>
      <c r="AO48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8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8" s="7">
        <f>IFERROR(Table424789101112131418212325272326[[#This Row],[Weekly Tips]]/Table424789101112131418212325272326[[#This Row],[Hours]],0)</f>
        <v>0</v>
      </c>
      <c r="AR48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8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8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49" spans="1:47" ht="16" x14ac:dyDescent="0.2">
      <c r="AN49" s="18"/>
      <c r="AO49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49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49" s="7">
        <f>IFERROR(Table424789101112131418212325272326[[#This Row],[Weekly Tips]]/Table424789101112131418212325272326[[#This Row],[Hours]],0)</f>
        <v>0</v>
      </c>
      <c r="AR49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49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49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0" spans="1:47" ht="16" x14ac:dyDescent="0.2">
      <c r="AN50" s="18"/>
      <c r="AO50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0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0" s="7">
        <f>IFERROR(Table424789101112131418212325272326[[#This Row],[Weekly Tips]]/Table424789101112131418212325272326[[#This Row],[Hours]],0)</f>
        <v>0</v>
      </c>
      <c r="AR50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0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0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1" spans="1:47" ht="16" x14ac:dyDescent="0.2">
      <c r="AN51" s="18"/>
      <c r="AO51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1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1" s="7">
        <f>IFERROR(Table424789101112131418212325272326[[#This Row],[Weekly Tips]]/Table424789101112131418212325272326[[#This Row],[Hours]],0)</f>
        <v>0</v>
      </c>
      <c r="AR51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1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1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2" spans="1:47" ht="16" x14ac:dyDescent="0.2">
      <c r="AN52" s="18"/>
      <c r="AO52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2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2" s="7">
        <f>IFERROR(Table424789101112131418212325272326[[#This Row],[Weekly Tips]]/Table424789101112131418212325272326[[#This Row],[Hours]],0)</f>
        <v>0</v>
      </c>
      <c r="AR52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2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2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3" spans="1:47" ht="16" x14ac:dyDescent="0.2">
      <c r="AN53" s="18"/>
      <c r="AO53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3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3" s="7">
        <f>IFERROR(Table424789101112131418212325272326[[#This Row],[Weekly Tips]]/Table424789101112131418212325272326[[#This Row],[Hours]],0)</f>
        <v>0</v>
      </c>
      <c r="AR53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3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3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4" spans="1:47" ht="16" x14ac:dyDescent="0.2">
      <c r="AN54" s="18"/>
      <c r="AO54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4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4" s="7">
        <f>IFERROR(Table424789101112131418212325272326[[#This Row],[Weekly Tips]]/Table424789101112131418212325272326[[#This Row],[Hours]],0)</f>
        <v>0</v>
      </c>
      <c r="AR54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4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4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5" spans="1:47" ht="16" x14ac:dyDescent="0.2">
      <c r="AN55" s="18"/>
      <c r="AO55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5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5" s="7">
        <f>IFERROR(Table424789101112131418212325272326[[#This Row],[Weekly Tips]]/Table424789101112131418212325272326[[#This Row],[Hours]],0)</f>
        <v>0</v>
      </c>
      <c r="AR55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5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5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6" spans="1:47" ht="16" x14ac:dyDescent="0.2">
      <c r="AN56" s="18"/>
      <c r="AO56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6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6" s="7">
        <f>IFERROR(Table424789101112131418212325272326[[#This Row],[Weekly Tips]]/Table424789101112131418212325272326[[#This Row],[Hours]],0)</f>
        <v>0</v>
      </c>
      <c r="AR56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6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6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7" spans="1:47" ht="16" x14ac:dyDescent="0.2">
      <c r="AN57" s="18"/>
      <c r="AO57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7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7" s="7">
        <f>IFERROR(Table424789101112131418212325272326[[#This Row],[Weekly Tips]]/Table424789101112131418212325272326[[#This Row],[Hours]],0)</f>
        <v>0</v>
      </c>
      <c r="AR57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7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7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8" spans="1:47" ht="16" x14ac:dyDescent="0.2">
      <c r="AN58" s="18"/>
      <c r="AO58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8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8" s="7">
        <f>IFERROR(Table424789101112131418212325272326[[#This Row],[Weekly Tips]]/Table424789101112131418212325272326[[#This Row],[Hours]],0)</f>
        <v>0</v>
      </c>
      <c r="AR58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8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8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59" spans="1:47" ht="15" customHeight="1" x14ac:dyDescent="0.2">
      <c r="AN59" s="18"/>
      <c r="AO59" s="19">
        <f>IFERROR(SUMIF(SunNames,Table424789101112131418212325272326[[#This Row],[Name]],SunHours)+SUMIF(MonNames,Table424789101112131418212325272326[[#This Row],[Name]],MonHours)+SUMIF(TuesNames,Table424789101112131418212325272326[[#This Row],[Name]],TuesHours)+SUMIF(WedNames,Table424789101112131418212325272326[[#This Row],[Name]],WedHours)+SUMIF(ThursNames,Table424789101112131418212325272326[[#This Row],[Name]],ThursHours)+SUMIF(FriNames,Table424789101112131418212325272326[[#This Row],[Name]],FriHours)+SUMIF(SatNames,Table424789101112131418212325272326[[#This Row],[Name]],SatHours),"")</f>
        <v>0</v>
      </c>
      <c r="AP59" s="20">
        <f>SUMIF(SunNames,Table424789101112131418212325272326[[#This Row],[Name]],SunTakeHome)+SUMIF(MonNames,Table424789101112131418212325272326[[#This Row],[Name]],MonTakeHome)+SUMIF(TuesNames,Table424789101112131418212325272326[[#This Row],[Name]],TuesTakeHome)+SUMIF(WedNames,Table424789101112131418212325272326[[#This Row],[Name]],WedTakeHome)+SUMIF(ThursNames,Table424789101112131418212325272326[[#This Row],[Name]],ThursTakeHome)+SUMIF(FriNames,Table424789101112131418212325272326[[#This Row],[Name]],FriTakeHome)+SUMIF(SatNames,Table424789101112131418212325272326[[#This Row],[Name]],SatTakeHome)</f>
        <v>0</v>
      </c>
      <c r="AQ59" s="7">
        <f>IFERROR(Table424789101112131418212325272326[[#This Row],[Weekly Tips]]/Table424789101112131418212325272326[[#This Row],[Hours]],0)</f>
        <v>0</v>
      </c>
      <c r="AR59" s="7">
        <f>SUMIF(SunNames,Table424789101112131418212325272326[[#This Row],[Name]],SunFood)+SUMIF(MonNames,Table424789101112131418212325272326[[#This Row],[Name]],MonFood)+SUMIF(TuesNames,Table424789101112131418212325272326[[#This Row],[Name]],TuesFood)+SUMIF(WedNames,Table424789101112131418212325272326[[#This Row],[Name]],WedFood)+SUMIF(ThursNames,Table424789101112131418212325272326[[#This Row],[Name]],ThursFood)+SUMIF(FriNames,Table424789101112131418212325272326[[#This Row],[Name]],FriFood)+SUMIF(SatNames,Table424789101112131418212325272326[[#This Row],[Name]],SatFood)</f>
        <v>0</v>
      </c>
      <c r="AS59" s="7">
        <f>SUMIF(SunNames,Table424789101112131418212325272326[[#This Row],[Name]],SunAlcohol)+SUMIF(MonNames,Table424789101112131418212325272326[[#This Row],[Name]],MonAlcohol)+SUMIF(TuesNames,Table424789101112131418212325272326[[#This Row],[Name]],TuesAlcohol)+SUMIF(WedNames,Table424789101112131418212325272326[[#This Row],[Name]],WedAlcohol)+SUMIF(ThursNames,Table424789101112131418212325272326[[#This Row],[Name]],ThursAlcohol)+SUMIF(FriNames,Table424789101112131418212325272326[[#This Row],[Name]],FriAlcohol)+SUMIF(SatNames,Table424789101112131418212325272326[[#This Row],[Name]],SatAlcohol)</f>
        <v>0</v>
      </c>
      <c r="AT59" s="7">
        <f>SUMIF(SunNames,Table424789101112131418212325272326[[#This Row],[Name]],SunTotal)+SUMIF(MonNames,Table424789101112131418212325272326[[#This Row],[Name]],MonTotal)+SUMIF(TuesNames,Table424789101112131418212325272326[[#This Row],[Name]],TuesTotal)+SUMIF(WedNames,Table424789101112131418212325272326[[#This Row],[Name]],WedTotal)+SUMIF(ThursNames,Table424789101112131418212325272326[[#This Row],[Name]],ThursTotal)+SUMIF(FriNames,Table424789101112131418212325272326[[#This Row],[Name]],FriTotal)+SUMIF(SatNames,Table424789101112131418212325272326[[#This Row],[Name]],SatTotal)</f>
        <v>0</v>
      </c>
    </row>
    <row r="60" spans="1:47" x14ac:dyDescent="0.2">
      <c r="AN60" s="21" t="s">
        <v>5</v>
      </c>
      <c r="AO60" s="22">
        <f>SUBTOTAL(109,Table424789101112131418212325272326[Hours])</f>
        <v>44</v>
      </c>
      <c r="AP60" s="23" t="s">
        <v>45</v>
      </c>
      <c r="AQ60" s="53">
        <f ca="1">SUBTOTAL(101,Table424789101112131418212325272326[Hourly])</f>
        <v>72.842913655913975</v>
      </c>
      <c r="AR60" s="53">
        <f>SUBTOTAL(109,Table424789101112131418212325272326[Food])</f>
        <v>14333.88</v>
      </c>
      <c r="AS60" s="53">
        <f>SUBTOTAL(109,Table424789101112131418212325272326[Alcohol])</f>
        <v>10283.270000000002</v>
      </c>
      <c r="AT60" s="53">
        <f>SUBTOTAL(109,Table424789101112131418212325272326[Total])</f>
        <v>24617.15</v>
      </c>
      <c r="AU60" s="21"/>
    </row>
    <row r="61" spans="1:47" hidden="1" x14ac:dyDescent="0.2">
      <c r="A61" s="7" t="s">
        <v>15</v>
      </c>
      <c r="B61" s="13" t="s">
        <v>15</v>
      </c>
      <c r="C61" s="7" t="s">
        <v>26</v>
      </c>
      <c r="D61" s="7" t="s">
        <v>33</v>
      </c>
      <c r="E61" s="7" t="s">
        <v>30</v>
      </c>
      <c r="I61" s="7" t="s">
        <v>34</v>
      </c>
      <c r="K61" s="7">
        <f>SUM(K29:K45)</f>
        <v>0</v>
      </c>
      <c r="L61" s="7">
        <f>SUM(L29:L45)</f>
        <v>0</v>
      </c>
      <c r="M61" s="7">
        <f ca="1">SUM(M29:M45)</f>
        <v>0</v>
      </c>
      <c r="N61" s="7" t="s">
        <v>15</v>
      </c>
      <c r="O61" s="13" t="s">
        <v>15</v>
      </c>
      <c r="P61" s="7" t="s">
        <v>26</v>
      </c>
      <c r="Q61" s="7" t="s">
        <v>33</v>
      </c>
      <c r="R61" s="7" t="s">
        <v>30</v>
      </c>
      <c r="V61" s="7" t="s">
        <v>34</v>
      </c>
      <c r="X61" s="7">
        <f>SUM(X29:X45)</f>
        <v>0</v>
      </c>
      <c r="Y61" s="7">
        <f>SUM(Y29:Y45)</f>
        <v>0</v>
      </c>
      <c r="Z61" s="7">
        <f ca="1">SUM(Z29:Z45)</f>
        <v>0</v>
      </c>
      <c r="AA61" s="7" t="s">
        <v>15</v>
      </c>
      <c r="AB61" s="13" t="s">
        <v>15</v>
      </c>
      <c r="AC61" s="7" t="s">
        <v>26</v>
      </c>
      <c r="AD61" s="7" t="s">
        <v>33</v>
      </c>
      <c r="AE61" s="7" t="s">
        <v>30</v>
      </c>
      <c r="AI61" s="7" t="s">
        <v>34</v>
      </c>
    </row>
    <row r="62" spans="1:47" hidden="1" x14ac:dyDescent="0.2">
      <c r="A62" s="7" t="s">
        <v>14</v>
      </c>
      <c r="B62" s="13" t="s">
        <v>20</v>
      </c>
      <c r="C62" s="7" t="s">
        <v>14</v>
      </c>
      <c r="D62" s="7" t="s">
        <v>20</v>
      </c>
      <c r="E62" s="7" t="s">
        <v>14</v>
      </c>
      <c r="F62" s="7" t="s">
        <v>20</v>
      </c>
      <c r="N62" s="7" t="s">
        <v>14</v>
      </c>
      <c r="O62" s="13" t="s">
        <v>20</v>
      </c>
      <c r="P62" s="7" t="s">
        <v>14</v>
      </c>
      <c r="Q62" s="7" t="s">
        <v>20</v>
      </c>
      <c r="R62" s="7" t="s">
        <v>14</v>
      </c>
      <c r="S62" s="7" t="s">
        <v>20</v>
      </c>
      <c r="AA62" s="7" t="s">
        <v>14</v>
      </c>
      <c r="AB62" s="13" t="s">
        <v>20</v>
      </c>
      <c r="AC62" s="7" t="s">
        <v>14</v>
      </c>
      <c r="AD62" s="7" t="s">
        <v>20</v>
      </c>
      <c r="AE62" s="7" t="s">
        <v>14</v>
      </c>
      <c r="AF62" s="7" t="s">
        <v>20</v>
      </c>
    </row>
    <row r="63" spans="1:47" hidden="1" x14ac:dyDescent="0.2">
      <c r="A63" s="7">
        <f>SUMIFS('02.26-03.03'!TuesHours,'02.26-03.03'!TuesAMPM,A62,'02.26-03.03'!TuesJobCode,"Bartender")</f>
        <v>1</v>
      </c>
      <c r="B63" s="13">
        <f>SUMIFS('02.26-03.03'!TuesHours,'02.26-03.03'!TuesAMPM,B62,'02.26-03.03'!TuesJobCode,"Bartender")</f>
        <v>1</v>
      </c>
      <c r="C63" s="7">
        <f>SUMIFS('02.26-03.03'!TuesHours,'02.26-03.03'!TuesAMPM,C62,'02.26-03.03'!TuesJobCode,"Food Runner")+SUMIFS('02.26-03.03'!TuesHours,'02.26-03.03'!TuesAMPM,C62,'02.26-03.03'!TuesJobCode,"Expo")</f>
        <v>0</v>
      </c>
      <c r="D63" s="7">
        <f>SUMIFS('02.26-03.03'!TuesHours,'02.26-03.03'!TuesAMPM,D62,'02.26-03.03'!TuesJobCode,"Food Runner")+SUMIFS('02.26-03.03'!TuesHours,'02.26-03.03'!TuesAMPM,D62,'02.26-03.03'!TuesJobCode,"Expo")</f>
        <v>0</v>
      </c>
      <c r="E63" s="7">
        <f>SUMIFS('02.26-03.03'!TuesHours,'02.26-03.03'!TuesAMPM,E62,'02.26-03.03'!TuesJobCode,"Host")</f>
        <v>0</v>
      </c>
      <c r="F63" s="7">
        <f>SUMIFS('02.26-03.03'!TuesHours,'02.26-03.03'!TuesAMPM,F62,'02.26-03.03'!TuesJobCode,"Host")</f>
        <v>0</v>
      </c>
      <c r="G63" s="7" t="s">
        <v>35</v>
      </c>
      <c r="N63" s="7">
        <f>SUMIFS('02.26-03.03'!ThursHours,'02.26-03.03'!ThursAMPM,N62,'02.26-03.03'!ThursJobCode,"Bartender")</f>
        <v>1</v>
      </c>
      <c r="O63" s="13">
        <f>SUMIFS('02.26-03.03'!ThursHours,'02.26-03.03'!ThursAMPM,O62,'02.26-03.03'!ThursJobCode,"Bartender")</f>
        <v>1</v>
      </c>
      <c r="P63" s="7">
        <f>SUMIFS('02.26-03.03'!ThursHours,'02.26-03.03'!ThursAMPM,P62,'02.26-03.03'!ThursJobCode,"Food Runner")+SUMIFS('02.26-03.03'!ThursHours,'02.26-03.03'!ThursAMPM,P62,'02.26-03.03'!ThursJobCode,"Expo")</f>
        <v>0</v>
      </c>
      <c r="Q63" s="7">
        <f>SUMIFS('02.26-03.03'!ThursHours,'02.26-03.03'!ThursAMPM,Q62,'02.26-03.03'!ThursJobCode,"Food Runner")+SUMIFS('02.26-03.03'!ThursHours,'02.26-03.03'!ThursAMPM,Q62,'02.26-03.03'!ThursJobCode,"Expo")</f>
        <v>0</v>
      </c>
      <c r="R63" s="7">
        <f>SUMIFS('02.26-03.03'!ThursHours,'02.26-03.03'!ThursAMPM,R62,'02.26-03.03'!ThursJobCode,"Host")</f>
        <v>0</v>
      </c>
      <c r="S63" s="7">
        <f>SUMIFS('02.26-03.03'!ThursHours,'02.26-03.03'!ThursAMPM,S62,'02.26-03.03'!ThursJobCode,"Host")</f>
        <v>0</v>
      </c>
      <c r="T63" s="7" t="s">
        <v>35</v>
      </c>
      <c r="AA63" s="7">
        <f>SUMIFS('02.26-03.03'!SatHours,'02.26-03.03'!SatAMPM,AA62,'02.26-03.03'!SatJobCode,"Bartender")</f>
        <v>1</v>
      </c>
      <c r="AB63" s="13">
        <f>SUMIFS('02.26-03.03'!SatHours,'02.26-03.03'!SatAMPM,AB62,'02.26-03.03'!SatJobCode,"Bartender")</f>
        <v>1</v>
      </c>
      <c r="AC63" s="7">
        <f>SUMIFS('02.26-03.03'!SatHours,'02.26-03.03'!SatAMPM,AC62,'02.26-03.03'!SatJobCode,"Food Runner")+SUMIFS('02.26-03.03'!SatHours,'02.26-03.03'!SatAMPM,AC62,'02.26-03.03'!SatJobCode,"Expo")</f>
        <v>0</v>
      </c>
      <c r="AD63" s="7">
        <f>SUMIFS('02.26-03.03'!SatHours,'02.26-03.03'!SatAMPM,AD62,'02.26-03.03'!SatJobCode,"Food Runner")+SUMIFS('02.26-03.03'!SatHours,'02.26-03.03'!SatAMPM,AD62,'02.26-03.03'!SatJobCode,"Expo")</f>
        <v>0</v>
      </c>
      <c r="AE63" s="7">
        <f>SUMIFS('02.26-03.03'!SatHours,'02.26-03.03'!SatAMPM,AE62,'02.26-03.03'!SatJobCode,"Host")</f>
        <v>1</v>
      </c>
      <c r="AF63" s="7">
        <f>SUMIFS('02.26-03.03'!SatHours,'02.26-03.03'!SatAMPM,AF62,'02.26-03.03'!SatJobCode,"Host")</f>
        <v>1</v>
      </c>
      <c r="AG63" s="7" t="s">
        <v>35</v>
      </c>
    </row>
    <row r="64" spans="1:47" hidden="1" x14ac:dyDescent="0.2">
      <c r="A64" s="7">
        <f>SUMIFS(TuesAlcTipout,'02.26-03.03'!TuesAMPM,A62,'02.26-03.03'!TuesJobCode,"&lt;&gt;Bartender")*-1</f>
        <v>1.17</v>
      </c>
      <c r="B64" s="66">
        <f>SUMIFS(TuesAlcTipout,'02.26-03.03'!TuesAMPM,B62,'02.26-03.03'!TuesJobCode,"&lt;&gt;Bartender")*-1</f>
        <v>4.08</v>
      </c>
      <c r="C64" s="7">
        <f>ABS(IF(C63=0,0,(SUMIFS(TuesFoodTipout,'02.26-03.03'!TuesAMPM,C62,'02.26-03.03'!TuesJobCode,"Server")+(SUMIFS(TuesFoodTipout,'02.26-03.03'!TuesAMPM,C62,'02.26-03.03'!TuesJobCode,"Bartender")))))</f>
        <v>0</v>
      </c>
      <c r="D64" s="7">
        <f>ABS(IF(D63=0,0,(SUMIFS(TuesFoodTipout,'02.26-03.03'!TuesAMPM,D62,'02.26-03.03'!TuesJobCode,"Server")+(SUMIFS(TuesFoodTipout,'02.26-03.03'!TuesAMPM,D62,'02.26-03.03'!TuesJobCode,"Bartender")))))</f>
        <v>0</v>
      </c>
      <c r="E64" s="7">
        <f ca="1">ABS(SUMIFS(TuesHostTipout,'02.26-03.03'!TuesAMPM,E62,'02.26-03.03'!TuesJobCode,"&lt;&gt;Host"))</f>
        <v>0</v>
      </c>
      <c r="F64" s="7">
        <f ca="1">ABS(SUMIFS(TuesHostTipout,'02.26-03.03'!TuesAMPM,F62,'02.26-03.03'!TuesJobCode,"&lt;&gt;Host"))</f>
        <v>0</v>
      </c>
      <c r="G64" s="7" t="s">
        <v>36</v>
      </c>
      <c r="N64" s="7">
        <f>SUMIFS(ThursAlcTipout,'02.26-03.03'!ThursAMPM,N62,'02.26-03.03'!ThursJobCode,"&lt;&gt;Bartender")*-1</f>
        <v>0</v>
      </c>
      <c r="O64" s="66">
        <f>SUMIFS(ThursAlcTipout,'02.26-03.03'!ThursAMPM,O62,'02.26-03.03'!ThursJobCode,"&lt;&gt;Bartender")*-1</f>
        <v>8.8704000000000001</v>
      </c>
      <c r="P64" s="7">
        <f>ABS(IF(P63=0,0,(SUMIFS(ThursFoodTipout,'02.26-03.03'!ThursAMPM,P62,'02.26-03.03'!ThursJobCode,"Server")+(SUMIFS(ThursFoodTipout,'02.26-03.03'!ThursAMPM,P62,'02.26-03.03'!ThursJobCode,"Bartender")))))</f>
        <v>0</v>
      </c>
      <c r="Q64" s="7">
        <f>ABS(IF(Q63=0,0,(SUMIFS(ThursFoodTipout,'02.26-03.03'!ThursAMPM,Q62,'02.26-03.03'!ThursJobCode,"Server")+(SUMIFS(ThursFoodTipout,'02.26-03.03'!ThursAMPM,Q62,'02.26-03.03'!ThursJobCode,"Bartender")))))</f>
        <v>0</v>
      </c>
      <c r="R64" s="7">
        <f ca="1">ABS(SUMIFS(ThursHostTipout,'02.26-03.03'!ThursAMPM,R62,'02.26-03.03'!ThursJobCode,"&lt;&gt;Host"))</f>
        <v>0</v>
      </c>
      <c r="S64" s="7">
        <f ca="1">ABS(SUMIFS(ThursHostTipout,'02.26-03.03'!ThursAMPM,S62,'02.26-03.03'!ThursJobCode,"&lt;&gt;Host"))</f>
        <v>0</v>
      </c>
      <c r="T64" s="7" t="s">
        <v>36</v>
      </c>
      <c r="AA64" s="7">
        <f>SUMIFS(SatAlcTipout,'02.26-03.03'!SatAMPM,AA62,'02.26-03.03'!SatJobCode,"&lt;&gt;Bartender")*-1</f>
        <v>41.134499999999996</v>
      </c>
      <c r="AB64" s="66">
        <f>SUMIFS(SatAlcTipout,'02.26-03.03'!SatAMPM,AB62,'02.26-03.03'!SatJobCode,"&lt;&gt;Bartender")*-1</f>
        <v>50.713499999999996</v>
      </c>
      <c r="AC64" s="7">
        <f>ABS(IF(AC63=0,0,(SUMIFS(SatFoodTipout,'02.26-03.03'!SatAMPM,AC62,'02.26-03.03'!SatJobCode,"Server")+(SUMIFS(SatFoodTipout,'02.26-03.03'!SatAMPM,AC62,'02.26-03.03'!SatJobCode,"Bartender")))))</f>
        <v>0</v>
      </c>
      <c r="AD64" s="7">
        <f>ABS(IF(AD63=0,0,(SUMIFS(SatFoodTipout,'02.26-03.03'!SatAMPM,AD62,'02.26-03.03'!SatJobCode,"Server")+(SUMIFS(SatFoodTipout,'02.26-03.03'!SatAMPM,AD62,'02.26-03.03'!SatJobCode,"Bartender")))))</f>
        <v>0</v>
      </c>
      <c r="AE64" s="7">
        <f ca="1">ABS(SUMIFS(SatHostTipout,'02.26-03.03'!SatAMPM,AE62,'02.26-03.03'!SatJobCode,"&lt;&gt;Host"))</f>
        <v>52.140500000000003</v>
      </c>
      <c r="AF64" s="7">
        <f ca="1">ABS(SUMIFS(SatHostTipout,'02.26-03.03'!SatAMPM,AF62,'02.26-03.03'!SatJobCode,"&lt;&gt;Host"))</f>
        <v>51.872000000000007</v>
      </c>
      <c r="AG64" s="7" t="s">
        <v>36</v>
      </c>
    </row>
    <row r="65" spans="1:45" hidden="1" x14ac:dyDescent="0.2">
      <c r="A65" s="66">
        <f>SUMIFS('02.26-03.03'!TuesTips,'02.26-03.03'!TuesAMPM,A62,'02.26-03.03'!TuesJobCode,A61)</f>
        <v>35.21</v>
      </c>
      <c r="B65" s="66">
        <f>SUMIFS('02.26-03.03'!TuesTips,'02.26-03.03'!TuesAMPM,B62,'02.26-03.03'!TuesJobCode,B61)</f>
        <v>141.62</v>
      </c>
      <c r="C65" s="7">
        <f>SUMIFS(TuesFoodTipout,'02.26-03.03'!TuesAMPM,C62,'02.26-03.03'!TuesJobCode,"Bartender")</f>
        <v>0</v>
      </c>
      <c r="D65" s="7">
        <f>SUMIFS(TuesFoodTipout,'02.26-03.03'!TuesAMPM,D62,'02.26-03.03'!TuesJobCode,"Bartender")</f>
        <v>0</v>
      </c>
      <c r="E65" s="7">
        <f ca="1">SUMIFS(TuesHostTipout,'02.26-03.03'!TuesJobCode,"Bartender",'02.26-03.03'!TuesAMPM,E62)</f>
        <v>0</v>
      </c>
      <c r="F65" s="7">
        <f ca="1">SUMIFS(TuesHostTipout,'02.26-03.03'!TuesJobCode,"Bartender",'02.26-03.03'!TuesAMPM,F62)</f>
        <v>0</v>
      </c>
      <c r="G65" s="7" t="s">
        <v>37</v>
      </c>
      <c r="N65" s="66">
        <f>SUMIFS('02.26-03.03'!ThursTips,'02.26-03.03'!ThursAMPM,N62,'02.26-03.03'!ThursJobCode,N61)</f>
        <v>102.6</v>
      </c>
      <c r="O65" s="66">
        <f>SUMIFS('02.26-03.03'!ThursTips,'02.26-03.03'!ThursAMPM,O62,'02.26-03.03'!ThursJobCode,O61)</f>
        <v>128.47</v>
      </c>
      <c r="P65" s="7">
        <f>SUMIFS(ThursFoodTipout,'02.26-03.03'!ThursAMPM,P62,'02.26-03.03'!ThursJobCode,"Bartender")</f>
        <v>0</v>
      </c>
      <c r="Q65" s="7">
        <f>SUMIFS(ThursFoodTipout,'02.26-03.03'!ThursAMPM,Q62,'02.26-03.03'!ThursJobCode,"Bartender")</f>
        <v>0</v>
      </c>
      <c r="R65" s="7">
        <f ca="1">SUMIFS(ThursHostTipout,'02.26-03.03'!ThursJobCode,"Bartender",'02.26-03.03'!ThursAMPM,R62)</f>
        <v>0</v>
      </c>
      <c r="S65" s="7">
        <f ca="1">SUMIFS(ThursHostTipout,'02.26-03.03'!ThursJobCode,"Bartender",'02.26-03.03'!ThursAMPM,S62)</f>
        <v>0</v>
      </c>
      <c r="T65" s="7" t="s">
        <v>37</v>
      </c>
      <c r="AA65" s="66">
        <f>SUMIFS('02.26-03.03'!SatTips,'02.26-03.03'!SatAMPM,AA62,'02.26-03.03'!SatJobCode,AA61)</f>
        <v>437.5</v>
      </c>
      <c r="AB65" s="66">
        <f>SUMIFS('02.26-03.03'!SatTips,'02.26-03.03'!SatAMPM,AB62,'02.26-03.03'!SatJobCode,AB61)</f>
        <v>336.45</v>
      </c>
      <c r="AC65" s="7">
        <f>SUMIFS(SatFoodTipout,'02.26-03.03'!SatAMPM,AC62,'02.26-03.03'!SatJobCode,"Bartender")</f>
        <v>0</v>
      </c>
      <c r="AD65" s="7">
        <f>SUMIFS(SatFoodTipout,'02.26-03.03'!SatAMPM,AD62,'02.26-03.03'!SatJobCode,"Bartender")</f>
        <v>0</v>
      </c>
      <c r="AE65" s="7">
        <f ca="1">SUMIFS(SatHostTipout,'02.26-03.03'!SatJobCode,"Bartender",'02.26-03.03'!SatAMPM,AE62)</f>
        <v>-19.269000000000002</v>
      </c>
      <c r="AF65" s="7">
        <f ca="1">SUMIFS(SatHostTipout,'02.26-03.03'!SatJobCode,"Bartender",'02.26-03.03'!SatAMPM,AF62)</f>
        <v>-11.932500000000001</v>
      </c>
      <c r="AG65" s="7" t="s">
        <v>37</v>
      </c>
    </row>
    <row r="66" spans="1:45" hidden="1" x14ac:dyDescent="0.2">
      <c r="A66" s="7">
        <f>A64/A63</f>
        <v>1.17</v>
      </c>
      <c r="B66" s="13">
        <f>B64/B63</f>
        <v>4.08</v>
      </c>
      <c r="C66" s="7">
        <f>IFERROR(C64/C63,0)</f>
        <v>0</v>
      </c>
      <c r="D66" s="7">
        <f>IFERROR(D64/D63,0)</f>
        <v>0</v>
      </c>
      <c r="E66" s="7">
        <f ca="1">IFERROR(E64/E63,0)</f>
        <v>0</v>
      </c>
      <c r="F66" s="7">
        <f ca="1">IFERROR(F64/F63,0)</f>
        <v>0</v>
      </c>
      <c r="G66" s="7" t="s">
        <v>38</v>
      </c>
      <c r="N66" s="7">
        <f>N64/N63</f>
        <v>0</v>
      </c>
      <c r="O66" s="13">
        <f>O64/O63</f>
        <v>8.8704000000000001</v>
      </c>
      <c r="P66" s="7">
        <f>IFERROR(P64/P63,0)</f>
        <v>0</v>
      </c>
      <c r="Q66" s="7">
        <f>IFERROR(Q64/Q63,0)</f>
        <v>0</v>
      </c>
      <c r="R66" s="7">
        <f ca="1">IFERROR(R64/R63,0)</f>
        <v>0</v>
      </c>
      <c r="S66" s="7">
        <f ca="1">IFERROR(S64/S63,0)</f>
        <v>0</v>
      </c>
      <c r="T66" s="7" t="s">
        <v>38</v>
      </c>
      <c r="AA66" s="7">
        <f>AA64/AA63</f>
        <v>41.134499999999996</v>
      </c>
      <c r="AB66" s="13">
        <f>AB64/AB63</f>
        <v>50.713499999999996</v>
      </c>
      <c r="AC66" s="7">
        <f>IFERROR(AC64/AC63,0)</f>
        <v>0</v>
      </c>
      <c r="AD66" s="7">
        <f>IFERROR(AD64/AD63,0)</f>
        <v>0</v>
      </c>
      <c r="AE66" s="7">
        <f ca="1">IFERROR(AE64/AE63,0)</f>
        <v>52.140500000000003</v>
      </c>
      <c r="AF66" s="7">
        <f ca="1">IFERROR(AF64/AF63,0)</f>
        <v>51.872000000000007</v>
      </c>
      <c r="AG66" s="7" t="s">
        <v>38</v>
      </c>
    </row>
    <row r="67" spans="1:45" hidden="1" x14ac:dyDescent="0.2">
      <c r="A67" s="7">
        <f>A65/A63</f>
        <v>35.21</v>
      </c>
      <c r="B67" s="13">
        <f>B65/B63</f>
        <v>141.62</v>
      </c>
      <c r="C67" s="7">
        <f>C65/A63</f>
        <v>0</v>
      </c>
      <c r="D67" s="7">
        <f>D65/B63</f>
        <v>0</v>
      </c>
      <c r="E67" s="7">
        <f ca="1">E65/A63</f>
        <v>0</v>
      </c>
      <c r="F67" s="7">
        <f ca="1">F65/B63</f>
        <v>0</v>
      </c>
      <c r="G67" s="7" t="s">
        <v>39</v>
      </c>
      <c r="N67" s="7">
        <f>N65/N63</f>
        <v>102.6</v>
      </c>
      <c r="O67" s="13">
        <f>O65/O63</f>
        <v>128.47</v>
      </c>
      <c r="P67" s="7">
        <f>P65/N63</f>
        <v>0</v>
      </c>
      <c r="Q67" s="7">
        <f>Q65/O63</f>
        <v>0</v>
      </c>
      <c r="R67" s="7">
        <f ca="1">R65/N63</f>
        <v>0</v>
      </c>
      <c r="S67" s="7">
        <f ca="1">S65/O63</f>
        <v>0</v>
      </c>
      <c r="T67" s="7" t="s">
        <v>39</v>
      </c>
      <c r="AA67" s="7">
        <f>AA65/AA63</f>
        <v>437.5</v>
      </c>
      <c r="AB67" s="13">
        <f>AB65/AB63</f>
        <v>336.45</v>
      </c>
      <c r="AC67" s="7">
        <f>AC65/AA63</f>
        <v>0</v>
      </c>
      <c r="AD67" s="7">
        <f>AD65/AB63</f>
        <v>0</v>
      </c>
      <c r="AE67" s="7">
        <f ca="1">AE65/AA63</f>
        <v>-19.269000000000002</v>
      </c>
      <c r="AF67" s="7">
        <f ca="1">AF65/AB63</f>
        <v>-11.932500000000001</v>
      </c>
      <c r="AG67" s="7" t="s">
        <v>39</v>
      </c>
    </row>
    <row r="68" spans="1:45" hidden="1" x14ac:dyDescent="0.2">
      <c r="A68" s="7" t="s">
        <v>46</v>
      </c>
      <c r="B68" s="13" t="s">
        <v>47</v>
      </c>
      <c r="C68" s="7" t="s">
        <v>48</v>
      </c>
      <c r="AN68" s="7" t="s">
        <v>49</v>
      </c>
      <c r="AO68" s="6">
        <f>Table424789101112131418212325272326[[#Totals],[Total]]/Table424789101112131418212325272326[[#Totals],[Hours]]</f>
        <v>559.48068181818189</v>
      </c>
      <c r="AP68" s="6">
        <f>IFERROR(Table424789101112131418212325272326[[#Totals],[Total]]/AP69,0)</f>
        <v>0</v>
      </c>
      <c r="AR68" s="6">
        <f>Table424789101112131418212325272326[[#Totals],[Food]]/Table424789101112131418212325272326[[#Totals],[Total]]</f>
        <v>0.58227211517173993</v>
      </c>
      <c r="AS68" s="6">
        <f>Table424789101112131418212325272326[[#Totals],[Alcohol]]/Table424789101112131418212325272326[[#Totals],[Total]]</f>
        <v>0.41772788482826007</v>
      </c>
    </row>
    <row r="69" spans="1:45" hidden="1" x14ac:dyDescent="0.2">
      <c r="A69" s="7" t="str">
        <f>TEXT(A1,"mm.dd")</f>
        <v>02.26</v>
      </c>
      <c r="B69" s="13" t="str">
        <f>TEXT(AN1,"mm.dd")</f>
        <v>03.03</v>
      </c>
      <c r="C69" s="7" t="str">
        <f>A69&amp;"-"&amp;B69</f>
        <v>02.26-03.03</v>
      </c>
      <c r="AO69" s="13" t="s">
        <v>50</v>
      </c>
      <c r="AP69" s="24"/>
      <c r="AR69" s="7" t="s">
        <v>51</v>
      </c>
      <c r="AS69" s="7" t="s">
        <v>52</v>
      </c>
    </row>
    <row r="70" spans="1:45" x14ac:dyDescent="0.2">
      <c r="AN70" s="13" t="s">
        <v>53</v>
      </c>
      <c r="AP70" s="49"/>
      <c r="AR70" s="7" t="s">
        <v>51</v>
      </c>
      <c r="AS70" s="7" t="s">
        <v>52</v>
      </c>
    </row>
    <row r="71" spans="1:45" x14ac:dyDescent="0.2">
      <c r="AN71" s="50" t="s">
        <v>54</v>
      </c>
      <c r="AO71" s="6">
        <f>Table424789101112131418212325272326[[#Totals],[Hours]]/Table424789101112131418212325272326[[#Totals],[Total]]</f>
        <v>1.7873718119278631E-3</v>
      </c>
      <c r="AP71" s="6">
        <f>AP70/Table424789101112131418212325272326[[#Totals],[Total]]</f>
        <v>0</v>
      </c>
      <c r="AR71" s="6">
        <f>Table424789101112131418212325272326[[#Totals],[Food]]/Table424789101112131418212325272326[[#Totals],[Total]]</f>
        <v>0.58227211517173993</v>
      </c>
      <c r="AS71" s="6">
        <f>Table424789101112131418212325272326[[#Totals],[Alcohol]]/Table424789101112131418212325272326[[#Totals],[Total]]</f>
        <v>0.41772788482826007</v>
      </c>
    </row>
  </sheetData>
  <sheetProtection sheet="1" objects="1" scenarios="1"/>
  <sortState xmlns:xlrd2="http://schemas.microsoft.com/office/spreadsheetml/2017/richdata2" ref="AN29:AU59">
    <sortCondition descending="1" ref="AO28"/>
  </sortState>
  <mergeCells count="8">
    <mergeCell ref="B1:J1"/>
    <mergeCell ref="O1:W1"/>
    <mergeCell ref="AB1:AJ1"/>
    <mergeCell ref="AO1:AW1"/>
    <mergeCell ref="B27:J27"/>
    <mergeCell ref="O27:W27"/>
    <mergeCell ref="AB27:AJ27"/>
    <mergeCell ref="AN27:AU27"/>
  </mergeCells>
  <dataValidations count="5">
    <dataValidation type="list" allowBlank="1" showInputMessage="1" showErrorMessage="1" sqref="U3:U16 H29:H36 H3:H19" xr:uid="{7C0E5C1A-4796-4942-9EF5-A90457AA7916}">
      <formula1>$AU$29:$AU$44</formula1>
    </dataValidation>
    <dataValidation type="list" allowBlank="1" showInputMessage="1" showErrorMessage="1" sqref="AH29:AH45 AU3:AU19 AH3:AH19 U29:U45 H37:H45 U17:U19" xr:uid="{6A6A7178-49E3-3D40-91EA-92A1396D732F}">
      <formula1>$AU$29:$AU$59</formula1>
    </dataValidation>
    <dataValidation type="list" allowBlank="1" showInputMessage="1" showErrorMessage="1" sqref="AN3:AN19 N3:N19 N29:N45 A29:A45 AA3:AA19 AA29:AA45 A3:A19" xr:uid="{3940264C-7D80-8A47-8189-6C2B6B35CFB7}">
      <formula1>$AN$29:$AN$59</formula1>
    </dataValidation>
    <dataValidation type="list" allowBlank="1" showInputMessage="1" showErrorMessage="1" sqref="H21 G61:G62 H62 U62 AH62 U21 G29:G45 AH21 T61:T62 AU21 AG61:AG62 AG3:AG21 AG29:AG45 T3:T21 T29:T45 G3:G21 AT3:AT21" xr:uid="{CC4886FE-F2BD-4040-8128-77C30A84A491}">
      <formula1>"AM, PM"</formula1>
    </dataValidation>
    <dataValidation type="list" allowBlank="1" showInputMessage="1" showErrorMessage="1" sqref="H20 H61 U61 AH61 U20 AH20 AU20" xr:uid="{4EAE90CA-3CC2-0A44-955B-9EE98FB68BE3}">
      <formula1>$R$2:$R$8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E531E-47EA-C140-8CC8-DB3E773D581F}">
  <sheetPr codeName="Sheet23"/>
  <dimension ref="A1:BH71"/>
  <sheetViews>
    <sheetView topLeftCell="A7" zoomScale="97" zoomScaleNormal="97" workbookViewId="0">
      <selection activeCell="B51" sqref="B51"/>
    </sheetView>
  </sheetViews>
  <sheetFormatPr baseColWidth="10" defaultColWidth="8.83203125" defaultRowHeight="15" x14ac:dyDescent="0.2"/>
  <cols>
    <col min="1" max="1" width="11.83203125" style="7" customWidth="1"/>
    <col min="2" max="2" width="5.83203125" style="13" customWidth="1"/>
    <col min="3" max="6" width="10.83203125" style="7" customWidth="1"/>
    <col min="7" max="7" width="7.33203125" style="7" customWidth="1"/>
    <col min="8" max="10" width="10.83203125" style="7" customWidth="1"/>
    <col min="11" max="11" width="14.33203125" style="7" customWidth="1"/>
    <col min="12" max="12" width="12.83203125" style="7" customWidth="1"/>
    <col min="13" max="13" width="14.1640625" style="7" customWidth="1"/>
    <col min="14" max="14" width="11.83203125" style="7" customWidth="1"/>
    <col min="15" max="15" width="5.83203125" style="13" customWidth="1"/>
    <col min="16" max="19" width="10.83203125" style="7" customWidth="1"/>
    <col min="20" max="20" width="7.33203125" style="7" customWidth="1"/>
    <col min="21" max="23" width="10.83203125" style="7" customWidth="1"/>
    <col min="24" max="24" width="12.33203125" style="7" customWidth="1"/>
    <col min="25" max="25" width="10.33203125" style="7" customWidth="1"/>
    <col min="26" max="26" width="10" style="7" customWidth="1"/>
    <col min="27" max="27" width="11.83203125" style="7" customWidth="1"/>
    <col min="28" max="28" width="5.83203125" style="13" customWidth="1"/>
    <col min="29" max="32" width="10.83203125" style="7" customWidth="1"/>
    <col min="33" max="33" width="7.33203125" style="7" customWidth="1"/>
    <col min="34" max="36" width="10.83203125" style="7" customWidth="1"/>
    <col min="37" max="37" width="12.33203125" style="7" customWidth="1"/>
    <col min="38" max="38" width="10.33203125" style="7" customWidth="1"/>
    <col min="39" max="39" width="10" style="7" customWidth="1"/>
    <col min="40" max="40" width="11.83203125" style="7" customWidth="1"/>
    <col min="41" max="41" width="8.33203125" style="13" customWidth="1"/>
    <col min="42" max="42" width="14.1640625" style="7" customWidth="1"/>
    <col min="43" max="45" width="10.83203125" style="7" customWidth="1"/>
    <col min="46" max="46" width="11.6640625" style="7" customWidth="1"/>
    <col min="47" max="49" width="10.83203125" style="7" customWidth="1"/>
    <col min="50" max="50" width="12.33203125" style="7" customWidth="1"/>
    <col min="51" max="51" width="10.33203125" style="7" customWidth="1"/>
    <col min="52" max="52" width="8.1640625" style="7" customWidth="1"/>
    <col min="53" max="53" width="15" style="7" customWidth="1"/>
    <col min="54" max="54" width="13.6640625" style="7" customWidth="1"/>
    <col min="55" max="57" width="8.33203125" style="7" customWidth="1"/>
    <col min="58" max="58" width="9" style="7" customWidth="1"/>
    <col min="59" max="59" width="11.33203125" style="7" customWidth="1"/>
    <col min="60" max="16384" width="8.83203125" style="7"/>
  </cols>
  <sheetData>
    <row r="1" spans="1:60" ht="21" x14ac:dyDescent="0.25">
      <c r="A1" s="67">
        <v>45324</v>
      </c>
      <c r="B1" s="75" t="str">
        <f>TEXT(A1,"DDDD")</f>
        <v>Friday</v>
      </c>
      <c r="C1" s="76"/>
      <c r="D1" s="76"/>
      <c r="E1" s="76"/>
      <c r="F1" s="76"/>
      <c r="G1" s="76"/>
      <c r="H1" s="76"/>
      <c r="I1" s="76"/>
      <c r="J1" s="77"/>
      <c r="K1" s="25">
        <v>0.03</v>
      </c>
      <c r="L1" s="25">
        <v>0.02</v>
      </c>
      <c r="M1" s="25">
        <v>0.01</v>
      </c>
      <c r="N1" s="68">
        <f>A1+2</f>
        <v>45326</v>
      </c>
      <c r="O1" s="78" t="str">
        <f>TEXT(N1,"DDDD")</f>
        <v>Sunday</v>
      </c>
      <c r="P1" s="79"/>
      <c r="Q1" s="79"/>
      <c r="R1" s="79"/>
      <c r="S1" s="79"/>
      <c r="T1" s="79"/>
      <c r="U1" s="79"/>
      <c r="V1" s="79"/>
      <c r="W1" s="80"/>
      <c r="X1" s="6">
        <v>0.03</v>
      </c>
      <c r="Y1" s="6">
        <v>0.02</v>
      </c>
      <c r="Z1" s="6">
        <v>0.01</v>
      </c>
      <c r="AA1" s="69">
        <f>A1+4</f>
        <v>45328</v>
      </c>
      <c r="AB1" s="81" t="str">
        <f>TEXT(AA1,"DDDD")</f>
        <v>Tuesday</v>
      </c>
      <c r="AC1" s="82"/>
      <c r="AD1" s="82"/>
      <c r="AE1" s="82"/>
      <c r="AF1" s="82"/>
      <c r="AG1" s="82"/>
      <c r="AH1" s="82"/>
      <c r="AI1" s="82"/>
      <c r="AJ1" s="83"/>
      <c r="AK1" s="25">
        <v>0.03</v>
      </c>
      <c r="AL1" s="25">
        <v>0.02</v>
      </c>
      <c r="AM1" s="25">
        <v>0.01</v>
      </c>
      <c r="AN1" s="68">
        <f>A1+6</f>
        <v>45330</v>
      </c>
      <c r="AO1" s="78" t="str">
        <f>TEXT(AN1,"DDDD")</f>
        <v>Thursday</v>
      </c>
      <c r="AP1" s="79"/>
      <c r="AQ1" s="79"/>
      <c r="AR1" s="79"/>
      <c r="AS1" s="79"/>
      <c r="AT1" s="79"/>
      <c r="AU1" s="79"/>
      <c r="AV1" s="79"/>
      <c r="AW1" s="80"/>
      <c r="AX1" s="6">
        <v>0.03</v>
      </c>
      <c r="AY1" s="6">
        <v>0.02</v>
      </c>
      <c r="AZ1" s="6">
        <v>0.01</v>
      </c>
      <c r="BH1" s="8"/>
    </row>
    <row r="2" spans="1:60" ht="16" x14ac:dyDescent="0.2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8" t="s">
        <v>6</v>
      </c>
      <c r="H2" s="26" t="s">
        <v>7</v>
      </c>
      <c r="I2" s="26" t="s">
        <v>8</v>
      </c>
      <c r="J2" s="26" t="s">
        <v>9</v>
      </c>
      <c r="K2" s="29" t="s">
        <v>10</v>
      </c>
      <c r="L2" s="29" t="s">
        <v>11</v>
      </c>
      <c r="M2" s="29" t="s">
        <v>12</v>
      </c>
      <c r="N2" s="30" t="s">
        <v>0</v>
      </c>
      <c r="O2" s="31" t="s">
        <v>1</v>
      </c>
      <c r="P2" s="30" t="s">
        <v>2</v>
      </c>
      <c r="Q2" s="30" t="s">
        <v>3</v>
      </c>
      <c r="R2" s="30" t="s">
        <v>4</v>
      </c>
      <c r="S2" s="30" t="s">
        <v>5</v>
      </c>
      <c r="T2" s="32" t="s">
        <v>6</v>
      </c>
      <c r="U2" s="30" t="s">
        <v>7</v>
      </c>
      <c r="V2" s="30" t="s">
        <v>8</v>
      </c>
      <c r="W2" s="30" t="s">
        <v>9</v>
      </c>
      <c r="X2" s="7" t="s">
        <v>10</v>
      </c>
      <c r="Y2" s="7" t="s">
        <v>11</v>
      </c>
      <c r="Z2" s="7" t="s">
        <v>12</v>
      </c>
      <c r="AA2" s="33" t="s">
        <v>0</v>
      </c>
      <c r="AB2" s="34" t="s">
        <v>1</v>
      </c>
      <c r="AC2" s="33" t="s">
        <v>2</v>
      </c>
      <c r="AD2" s="33" t="s">
        <v>3</v>
      </c>
      <c r="AE2" s="33" t="s">
        <v>4</v>
      </c>
      <c r="AF2" s="33" t="s">
        <v>5</v>
      </c>
      <c r="AG2" s="35" t="s">
        <v>6</v>
      </c>
      <c r="AH2" s="33" t="s">
        <v>7</v>
      </c>
      <c r="AI2" s="33" t="s">
        <v>8</v>
      </c>
      <c r="AJ2" s="33" t="s">
        <v>9</v>
      </c>
      <c r="AK2" s="29" t="s">
        <v>10</v>
      </c>
      <c r="AL2" s="29" t="s">
        <v>11</v>
      </c>
      <c r="AM2" s="29" t="s">
        <v>12</v>
      </c>
      <c r="AN2" s="30" t="s">
        <v>0</v>
      </c>
      <c r="AO2" s="31" t="s">
        <v>1</v>
      </c>
      <c r="AP2" s="30" t="s">
        <v>2</v>
      </c>
      <c r="AQ2" s="30" t="s">
        <v>3</v>
      </c>
      <c r="AR2" s="30" t="s">
        <v>4</v>
      </c>
      <c r="AS2" s="30" t="s">
        <v>5</v>
      </c>
      <c r="AT2" s="30" t="s">
        <v>6</v>
      </c>
      <c r="AU2" s="30" t="s">
        <v>7</v>
      </c>
      <c r="AV2" s="30" t="s">
        <v>8</v>
      </c>
      <c r="AW2" s="30" t="s">
        <v>9</v>
      </c>
      <c r="AX2" s="7" t="s">
        <v>10</v>
      </c>
      <c r="AY2" s="7" t="s">
        <v>11</v>
      </c>
      <c r="AZ2" s="7" t="s">
        <v>12</v>
      </c>
    </row>
    <row r="3" spans="1:60" x14ac:dyDescent="0.2">
      <c r="A3" s="9" t="s">
        <v>55</v>
      </c>
      <c r="B3" s="10">
        <v>8</v>
      </c>
      <c r="C3" s="9">
        <v>241</v>
      </c>
      <c r="D3" s="9">
        <v>900</v>
      </c>
      <c r="E3" s="9">
        <v>350</v>
      </c>
      <c r="F3" s="1">
        <f>D3+E3</f>
        <v>1250</v>
      </c>
      <c r="G3" s="9" t="s">
        <v>14</v>
      </c>
      <c r="H3" s="9" t="s">
        <v>15</v>
      </c>
      <c r="I3" s="1">
        <f t="shared" ref="I3" ca="1" si="0">IF(H3="Bartender",(HLOOKUP(G3,MonFoodTable,6)*B3)+(HLOOKUP(G3,MonHostTable,6)*B3)+K3,SUM(K3,L3,M3))</f>
        <v>3</v>
      </c>
      <c r="J3" s="1">
        <f t="shared" ref="J3" ca="1" si="1">IFERROR(IF(H3="Bartender",(HLOOKUP(G3,MonBarTable,6)*B3)+I3,C3+I3),"")</f>
        <v>244</v>
      </c>
      <c r="K3" s="7">
        <f t="shared" ref="K3" si="2">IF(H3="Server",-E3*AlcoholTipPercentage,0)+IF(H3="Bartender",HLOOKUP(G3,MonBarTable,5)*B3)</f>
        <v>3</v>
      </c>
      <c r="L3" s="7" cm="1">
        <f t="array" ref="L3">IFERROR(_xlfn.IFS(HLOOKUP(G3,MonFoodTable,2)=0,0,OR(H3="Server",H3="Bartender"),-D3*FoodTipPercentage,OR(H3="Expo",H3="Food Runner"),HLOOKUP(G3,MonFoodTable,5)*B3,H3="Host",0),"")</f>
        <v>0</v>
      </c>
      <c r="M3" s="7" cm="1">
        <f t="array" aca="1" ref="M3" ca="1">IFERROR(_xlfn.IFS(HLOOKUP(G3,MonHostTable,2)=0,0,OR(H3="Server",H3="Bartender"),-F3*HostTipPercentage,H3="Host",HLOOKUP(G3,MonHostTable,5)*B3,OR(H3="Expo",H3="Food Runner"),0),"")</f>
        <v>0</v>
      </c>
      <c r="N3" s="4" t="s">
        <v>56</v>
      </c>
      <c r="O3" s="5">
        <v>8</v>
      </c>
      <c r="P3" s="4">
        <v>187</v>
      </c>
      <c r="Q3" s="4">
        <v>700</v>
      </c>
      <c r="R3" s="4">
        <v>740</v>
      </c>
      <c r="S3" s="3">
        <f>Q3+R3</f>
        <v>1440</v>
      </c>
      <c r="T3" s="4" t="s">
        <v>14</v>
      </c>
      <c r="U3" s="4" t="s">
        <v>15</v>
      </c>
      <c r="V3" s="3">
        <f t="shared" ref="V3" ca="1" si="3">IF(U3="Bartender",(HLOOKUP(T3,WedFoodTable,6)*O3)+(HLOOKUP(T3,WedHostTable,6)*O3)+X3,SUM(X3,Y3,Z3))</f>
        <v>5.9399999999999995</v>
      </c>
      <c r="W3" s="3">
        <f t="shared" ref="W3" ca="1" si="4">IFERROR(IF(U3="Bartender",(HLOOKUP(T3,WedBarTable,6)*O3)+V3,P3+V3),"")</f>
        <v>192.94</v>
      </c>
      <c r="X3" s="7">
        <f t="shared" ref="X3" si="5">IF(U3="Server",-R3*AlcoholTipPercentage,0)+IF(U3="Bartender",HLOOKUP(T3,WedBarTable,5)*O3)</f>
        <v>20.34</v>
      </c>
      <c r="Y3" s="7" cm="1">
        <f t="array" ref="Y3">IFERROR(_xlfn.IFS(HLOOKUP(T3,WedFoodTable,2)=0,0,OR(U3="Server",U3="Bartender"),-Q3*FoodTipPercentage,OR(U3="Expo",U3="Food Runner"),HLOOKUP(T3,WedFoodTable,5)*O3,U3="Host",0),"")</f>
        <v>0</v>
      </c>
      <c r="Z3" s="7" cm="1">
        <f t="array" aca="1" ref="Z3" ca="1">IFERROR(_xlfn.IFS(HLOOKUP(T3,WedHostTable,2)=0,0,OR(U3="Server",U3="Bartender"),-S3*HostTipPercentage,U3="Host",HLOOKUP(T3,WedHostTable,5)*O3,OR(U3="Expo",U3="Food Runner"),0),"")</f>
        <v>-14.4</v>
      </c>
      <c r="AA3" s="11" t="s">
        <v>55</v>
      </c>
      <c r="AB3" s="12">
        <v>8</v>
      </c>
      <c r="AC3" s="11">
        <v>241</v>
      </c>
      <c r="AD3" s="11">
        <v>900</v>
      </c>
      <c r="AE3" s="11">
        <v>350</v>
      </c>
      <c r="AF3" s="37">
        <f>AD3+AE3</f>
        <v>1250</v>
      </c>
      <c r="AG3" s="11" t="s">
        <v>14</v>
      </c>
      <c r="AH3" s="11" t="s">
        <v>15</v>
      </c>
      <c r="AI3" s="37">
        <f t="shared" ref="AI3" ca="1" si="6">IF(AH3="Bartender",(HLOOKUP(AG3,FriFoodTable,6)*AB3)+(HLOOKUP(AG3,FriHostTable,6)*AB3)+AK3,SUM(AK3,AL3,AM3))</f>
        <v>20.504999999999999</v>
      </c>
      <c r="AJ3" s="37">
        <f t="shared" ref="AJ3" ca="1" si="7">IFERROR(IF(AH3="Bartender",(HLOOKUP(AG3,FriBarTable,6)*AB3)+AI3,AC3+AI3),"")</f>
        <v>227.505</v>
      </c>
      <c r="AK3" s="7">
        <f t="shared" ref="AK3" si="8">IF(AH3="Server",-AE3*AlcoholTipPercentage,0)+IF(AH3="Bartender",HLOOKUP(AG3,FriBarTable,5)*AB3)</f>
        <v>20.504999999999999</v>
      </c>
      <c r="AL3" s="7" cm="1">
        <f t="array" ref="AL3">IFERROR(_xlfn.IFS(HLOOKUP(AG3,FriFoodTable,2)=0,0,OR(AH3="Server",AH3="Bartender"),-AD3*FoodTipPercentage,OR(AH3="Expo",AH3="Food Runner"),HLOOKUP(AG3,FriFoodTable,5)*AB3,AH3="Host",0),"")</f>
        <v>0</v>
      </c>
      <c r="AM3" s="7" cm="1">
        <f t="array" aca="1" ref="AM3" ca="1">IFERROR(_xlfn.IFS(HLOOKUP(AG3,FriHostTable,2)=0,0,OR(AH3="Server",AH3="Bartender"),-AF3*HostTipPercentage,AH3="Host",HLOOKUP(AG3,FriHostTable,5)*AB3,OR(AH3="Expo",AH3="Food Runner"),0),"")</f>
        <v>0</v>
      </c>
      <c r="AN3" s="4" t="s">
        <v>55</v>
      </c>
      <c r="AO3" s="5">
        <v>8</v>
      </c>
      <c r="AP3" s="4">
        <v>241</v>
      </c>
      <c r="AQ3" s="4">
        <v>900</v>
      </c>
      <c r="AR3" s="4">
        <v>350</v>
      </c>
      <c r="AS3" s="36">
        <f>AQ3+AR3</f>
        <v>1250</v>
      </c>
      <c r="AT3" s="4" t="s">
        <v>14</v>
      </c>
      <c r="AU3" s="4" t="s">
        <v>15</v>
      </c>
      <c r="AV3" s="36">
        <f t="shared" ref="AV3" ca="1" si="9">IF(AU3="Bartender",(HLOOKUP(AT3,SunFoodTable,6)*AO3)+(HLOOKUP(AT3,SunHostTable,6)*AO3)+AX3,SUM(AX3,AY3,AZ3))</f>
        <v>-15</v>
      </c>
      <c r="AW3" s="36">
        <f t="shared" ref="AW3" ca="1" si="10">IFERROR(IF(AU3="Bartender",(HLOOKUP(AT3,SunBarTable,6)*AO3)+AV3,AP3+AV3),"")</f>
        <v>226</v>
      </c>
      <c r="AX3" s="7">
        <f t="shared" ref="AX3" si="11">IF(AU3="Server",-AR3*AlcoholTipPercentage,0)+IF(AU3="Bartender",HLOOKUP(AT3,SunBarTable,5)*AO3)</f>
        <v>3</v>
      </c>
      <c r="AY3" s="7" cm="1">
        <f t="array" aca="1" ref="AY3" ca="1">IFERROR(_xlfn.IFS(HLOOKUP(AT3,SunFoodTable,2)=0,0,OR(AU3="Server",AU3="Bartender"),-AQ3*FoodTipPercentage,OR(AU3="Expo",AU3="Food Runner"),HLOOKUP(AT3,SunFoodTable,5)*AO3,AU3="Host",0),"")</f>
        <v>-18</v>
      </c>
      <c r="AZ3" s="7" cm="1">
        <f t="array" aca="1" ref="AZ3" ca="1">IFERROR(_xlfn.IFS(HLOOKUP(AT3,SunHostTable,2)=0,0,OR(AU3="Server",AU3="Bartender"),-AS3*HostTipPercentage,AU3="Host",HLOOKUP(AT3,SunHostTable,5)*AO3,OR(AU3="Expo",AU3="Food Runner"),0),"")</f>
        <v>0</v>
      </c>
    </row>
    <row r="4" spans="1:60" x14ac:dyDescent="0.2">
      <c r="A4" s="9" t="s">
        <v>57</v>
      </c>
      <c r="B4" s="10">
        <v>8</v>
      </c>
      <c r="C4" s="9">
        <v>173</v>
      </c>
      <c r="D4" s="9">
        <v>700</v>
      </c>
      <c r="E4" s="9">
        <v>100</v>
      </c>
      <c r="F4" s="1">
        <f t="shared" ref="F4:F19" si="12">E4+D4</f>
        <v>800</v>
      </c>
      <c r="G4" s="9" t="s">
        <v>14</v>
      </c>
      <c r="H4" s="9" t="s">
        <v>18</v>
      </c>
      <c r="I4" s="1">
        <f t="shared" ref="I4" ca="1" si="13">IF(H4="Bartender",(HLOOKUP(G4,MonFoodTable,6)*B4)+(HLOOKUP(G4,MonHostTable,6)*B4)+K4,SUM(K4,L4,M4))</f>
        <v>-3</v>
      </c>
      <c r="J4" s="1">
        <f t="shared" ref="J4" ca="1" si="14">IFERROR(IF(H4="Bartender",(HLOOKUP(G4,MonBarTable,6)*B4)+I4,C4+I4),"")</f>
        <v>170</v>
      </c>
      <c r="K4" s="7">
        <f t="shared" ref="K4" si="15">IF(H4="Server",-E4*AlcoholTipPercentage,0)+IF(H4="Bartender",HLOOKUP(G4,MonBarTable,5)*B4)</f>
        <v>-3</v>
      </c>
      <c r="L4" s="7" cm="1">
        <f t="array" ref="L4">IFERROR(_xlfn.IFS(HLOOKUP(G4,MonFoodTable,2)=0,0,OR(H4="Server",H4="Bartender"),-D4*FoodTipPercentage,OR(H4="Expo",H4="Food Runner"),HLOOKUP(G4,MonFoodTable,5)*B4,H4="Host",0),"")</f>
        <v>0</v>
      </c>
      <c r="M4" s="7" cm="1">
        <f t="array" aca="1" ref="M4" ca="1">IFERROR(_xlfn.IFS(HLOOKUP(G4,MonHostTable,2)=0,0,OR(H4="Server",H4="Bartender"),-F4*HostTipPercentage,H4="Host",HLOOKUP(G4,MonHostTable,5)*B4,OR(H4="Expo",H4="Food Runner"),0),"")</f>
        <v>0</v>
      </c>
      <c r="N4" s="4" t="s">
        <v>58</v>
      </c>
      <c r="O4" s="5">
        <v>8</v>
      </c>
      <c r="P4" s="4">
        <v>230</v>
      </c>
      <c r="Q4" s="4">
        <v>900</v>
      </c>
      <c r="R4" s="4">
        <v>253</v>
      </c>
      <c r="S4" s="3">
        <f t="shared" ref="S4:S19" si="16">R4+Q4</f>
        <v>1153</v>
      </c>
      <c r="T4" s="4" t="s">
        <v>14</v>
      </c>
      <c r="U4" s="4" t="s">
        <v>18</v>
      </c>
      <c r="V4" s="3">
        <f t="shared" ref="V4" ca="1" si="17">IF(U4="Bartender",(HLOOKUP(T4,WedFoodTable,6)*O4)+(HLOOKUP(T4,WedHostTable,6)*O4)+X4,SUM(X4,Y4,Z4))</f>
        <v>-19.119999999999997</v>
      </c>
      <c r="W4" s="3">
        <f t="shared" ref="W4" ca="1" si="18">IFERROR(IF(U4="Bartender",(HLOOKUP(T4,WedBarTable,6)*O4)+V4,P4+V4),"")</f>
        <v>210.88</v>
      </c>
      <c r="X4" s="7">
        <f t="shared" ref="X4" si="19">IF(U4="Server",-R4*AlcoholTipPercentage,0)+IF(U4="Bartender",HLOOKUP(T4,WedBarTable,5)*O4)</f>
        <v>-7.59</v>
      </c>
      <c r="Y4" s="7" cm="1">
        <f t="array" ref="Y4">IFERROR(_xlfn.IFS(HLOOKUP(T4,WedFoodTable,2)=0,0,OR(U4="Server",U4="Bartender"),-Q4*FoodTipPercentage,OR(U4="Expo",U4="Food Runner"),HLOOKUP(T4,WedFoodTable,5)*O4,U4="Host",0),"")</f>
        <v>0</v>
      </c>
      <c r="Z4" s="7" cm="1">
        <f t="array" aca="1" ref="Z4" ca="1">IFERROR(_xlfn.IFS(HLOOKUP(T4,WedHostTable,2)=0,0,OR(U4="Server",U4="Bartender"),-S4*HostTipPercentage,U4="Host",HLOOKUP(T4,WedHostTable,5)*O4,OR(U4="Expo",U4="Food Runner"),0),"")</f>
        <v>-11.53</v>
      </c>
      <c r="AA4" s="11" t="s">
        <v>57</v>
      </c>
      <c r="AB4" s="12">
        <v>8</v>
      </c>
      <c r="AC4" s="11">
        <v>173</v>
      </c>
      <c r="AD4" s="11">
        <v>700</v>
      </c>
      <c r="AE4" s="11">
        <v>100</v>
      </c>
      <c r="AF4" s="37">
        <f t="shared" ref="AF4:AF19" si="20">AE4+AD4</f>
        <v>800</v>
      </c>
      <c r="AG4" s="11" t="s">
        <v>14</v>
      </c>
      <c r="AH4" s="11" t="s">
        <v>15</v>
      </c>
      <c r="AI4" s="37">
        <f t="shared" ref="AI4" ca="1" si="21">IF(AH4="Bartender",(HLOOKUP(AG4,FriFoodTable,6)*AB4)+(HLOOKUP(AG4,FriHostTable,6)*AB4)+AK4,SUM(AK4,AL4,AM4))</f>
        <v>20.504999999999999</v>
      </c>
      <c r="AJ4" s="37">
        <f t="shared" ref="AJ4" ca="1" si="22">IFERROR(IF(AH4="Bartender",(HLOOKUP(AG4,FriBarTable,6)*AB4)+AI4,AC4+AI4),"")</f>
        <v>227.505</v>
      </c>
      <c r="AK4" s="7">
        <f t="shared" ref="AK4" si="23">IF(AH4="Server",-AE4*AlcoholTipPercentage,0)+IF(AH4="Bartender",HLOOKUP(AG4,FriBarTable,5)*AB4)</f>
        <v>20.504999999999999</v>
      </c>
      <c r="AL4" s="7" cm="1">
        <f t="array" ref="AL4">IFERROR(_xlfn.IFS(HLOOKUP(AG4,FriFoodTable,2)=0,0,OR(AH4="Server",AH4="Bartender"),-AD4*FoodTipPercentage,OR(AH4="Expo",AH4="Food Runner"),HLOOKUP(AG4,FriFoodTable,5)*AB4,AH4="Host",0),"")</f>
        <v>0</v>
      </c>
      <c r="AM4" s="7" cm="1">
        <f t="array" aca="1" ref="AM4" ca="1">IFERROR(_xlfn.IFS(HLOOKUP(AG4,FriHostTable,2)=0,0,OR(AH4="Server",AH4="Bartender"),-AF4*HostTipPercentage,AH4="Host",HLOOKUP(AG4,FriHostTable,5)*AB4,OR(AH4="Expo",AH4="Food Runner"),0),"")</f>
        <v>0</v>
      </c>
      <c r="AN4" s="4" t="s">
        <v>57</v>
      </c>
      <c r="AO4" s="5">
        <v>8</v>
      </c>
      <c r="AP4" s="4">
        <v>173</v>
      </c>
      <c r="AQ4" s="4">
        <v>700</v>
      </c>
      <c r="AR4" s="4">
        <v>100</v>
      </c>
      <c r="AS4" s="36">
        <f t="shared" ref="AS4:AS19" si="24">AR4+AQ4</f>
        <v>800</v>
      </c>
      <c r="AT4" s="4" t="s">
        <v>14</v>
      </c>
      <c r="AU4" s="4" t="s">
        <v>18</v>
      </c>
      <c r="AV4" s="36">
        <f t="shared" ref="AV4" ca="1" si="25">IF(AU4="Bartender",(HLOOKUP(AT4,SunFoodTable,6)*AO4)+(HLOOKUP(AT4,SunHostTable,6)*AO4)+AX4,SUM(AX4,AY4,AZ4))</f>
        <v>-17</v>
      </c>
      <c r="AW4" s="36">
        <f t="shared" ref="AW4" ca="1" si="26">IFERROR(IF(AU4="Bartender",(HLOOKUP(AT4,SunBarTable,6)*AO4)+AV4,AP4+AV4),"")</f>
        <v>156</v>
      </c>
      <c r="AX4" s="7">
        <f t="shared" ref="AX4" si="27">IF(AU4="Server",-AR4*AlcoholTipPercentage,0)+IF(AU4="Bartender",HLOOKUP(AT4,SunBarTable,5)*AO4)</f>
        <v>-3</v>
      </c>
      <c r="AY4" s="7" cm="1">
        <f t="array" aca="1" ref="AY4" ca="1">IFERROR(_xlfn.IFS(HLOOKUP(AT4,SunFoodTable,2)=0,0,OR(AU4="Server",AU4="Bartender"),-AQ4*FoodTipPercentage,OR(AU4="Expo",AU4="Food Runner"),HLOOKUP(AT4,SunFoodTable,5)*AO4,AU4="Host",0),"")</f>
        <v>-14</v>
      </c>
      <c r="AZ4" s="7" cm="1">
        <f t="array" aca="1" ref="AZ4" ca="1">IFERROR(_xlfn.IFS(HLOOKUP(AT4,SunHostTable,2)=0,0,OR(AU4="Server",AU4="Bartender"),-AS4*HostTipPercentage,AU4="Host",HLOOKUP(AT4,SunHostTable,5)*AO4,OR(AU4="Expo",AU4="Food Runner"),0),"")</f>
        <v>0</v>
      </c>
    </row>
    <row r="5" spans="1:60" x14ac:dyDescent="0.2">
      <c r="A5" s="9" t="s">
        <v>59</v>
      </c>
      <c r="B5" s="10">
        <v>8</v>
      </c>
      <c r="C5" s="9">
        <v>250</v>
      </c>
      <c r="D5" s="9">
        <v>897</v>
      </c>
      <c r="E5" s="9">
        <v>567</v>
      </c>
      <c r="F5" s="1">
        <f t="shared" si="12"/>
        <v>1464</v>
      </c>
      <c r="G5" s="9" t="s">
        <v>20</v>
      </c>
      <c r="H5" s="9" t="s">
        <v>15</v>
      </c>
      <c r="I5" s="1">
        <f t="shared" ref="I5" ca="1" si="28">IF(H5="Bartender",(HLOOKUP(G5,MonFoodTable,6)*B5)+(HLOOKUP(G5,MonHostTable,6)*B5)+K5,SUM(K5,L5,M5))</f>
        <v>9.36</v>
      </c>
      <c r="J5" s="1">
        <f t="shared" ref="J5" ca="1" si="29">IFERROR(IF(H5="Bartender",(HLOOKUP(G5,MonBarTable,6)*B5)+I5,C5+I5),"")</f>
        <v>259.36</v>
      </c>
      <c r="K5" s="7">
        <f t="shared" ref="K5" si="30">IF(H5="Server",-E5*AlcoholTipPercentage,0)+IF(H5="Bartender",HLOOKUP(G5,MonBarTable,5)*B5)</f>
        <v>24</v>
      </c>
      <c r="L5" s="7" cm="1">
        <f t="array" ref="L5">IFERROR(_xlfn.IFS(HLOOKUP(G5,MonFoodTable,2)=0,0,OR(H5="Server",H5="Bartender"),-D5*FoodTipPercentage,OR(H5="Expo",H5="Food Runner"),HLOOKUP(G5,MonFoodTable,5)*B5,H5="Host",0),"")</f>
        <v>0</v>
      </c>
      <c r="M5" s="7" cm="1">
        <f t="array" aca="1" ref="M5" ca="1">IFERROR(_xlfn.IFS(HLOOKUP(G5,MonHostTable,2)=0,0,OR(H5="Server",H5="Bartender"),-F5*HostTipPercentage,H5="Host",HLOOKUP(G5,MonHostTable,5)*B5,OR(H5="Expo",H5="Food Runner"),0),"")</f>
        <v>-14.64</v>
      </c>
      <c r="N5" s="4" t="s">
        <v>60</v>
      </c>
      <c r="O5" s="5">
        <v>5</v>
      </c>
      <c r="P5" s="4">
        <v>120</v>
      </c>
      <c r="Q5" s="4">
        <v>589</v>
      </c>
      <c r="R5" s="4">
        <v>425</v>
      </c>
      <c r="S5" s="3">
        <f t="shared" si="16"/>
        <v>1014</v>
      </c>
      <c r="T5" s="4" t="s">
        <v>14</v>
      </c>
      <c r="U5" s="4" t="s">
        <v>18</v>
      </c>
      <c r="V5" s="3">
        <f t="shared" ref="V5" ca="1" si="31">IF(U5="Bartender",(HLOOKUP(T5,WedFoodTable,6)*O5)+(HLOOKUP(T5,WedHostTable,6)*O5)+X5,SUM(X5,Y5,Z5))</f>
        <v>-22.89</v>
      </c>
      <c r="W5" s="3">
        <f t="shared" ref="W5" ca="1" si="32">IFERROR(IF(U5="Bartender",(HLOOKUP(T5,WedBarTable,6)*O5)+V5,P5+V5),"")</f>
        <v>97.11</v>
      </c>
      <c r="X5" s="7">
        <f t="shared" ref="X5" si="33">IF(U5="Server",-R5*AlcoholTipPercentage,0)+IF(U5="Bartender",HLOOKUP(T5,WedBarTable,5)*O5)</f>
        <v>-12.75</v>
      </c>
      <c r="Y5" s="7" cm="1">
        <f t="array" ref="Y5">IFERROR(_xlfn.IFS(HLOOKUP(T5,WedFoodTable,2)=0,0,OR(U5="Server",U5="Bartender"),-Q5*FoodTipPercentage,OR(U5="Expo",U5="Food Runner"),HLOOKUP(T5,WedFoodTable,5)*O5,U5="Host",0),"")</f>
        <v>0</v>
      </c>
      <c r="Z5" s="7" cm="1">
        <f t="array" aca="1" ref="Z5" ca="1">IFERROR(_xlfn.IFS(HLOOKUP(T5,WedHostTable,2)=0,0,OR(U5="Server",U5="Bartender"),-S5*HostTipPercentage,U5="Host",HLOOKUP(T5,WedHostTable,5)*O5,OR(U5="Expo",U5="Food Runner"),0),"")</f>
        <v>-10.14</v>
      </c>
      <c r="AA5" s="11" t="s">
        <v>59</v>
      </c>
      <c r="AB5" s="12">
        <v>8</v>
      </c>
      <c r="AC5" s="11">
        <v>250</v>
      </c>
      <c r="AD5" s="11">
        <v>897</v>
      </c>
      <c r="AE5" s="11">
        <v>567</v>
      </c>
      <c r="AF5" s="37">
        <f t="shared" si="20"/>
        <v>1464</v>
      </c>
      <c r="AG5" s="11" t="s">
        <v>14</v>
      </c>
      <c r="AH5" s="11" t="s">
        <v>18</v>
      </c>
      <c r="AI5" s="37">
        <f t="shared" ref="AI5" ca="1" si="34">IF(AH5="Bartender",(HLOOKUP(AG5,FriFoodTable,6)*AB5)+(HLOOKUP(AG5,FriHostTable,6)*AB5)+AK5,SUM(AK5,AL5,AM5))</f>
        <v>-17.009999999999998</v>
      </c>
      <c r="AJ5" s="37">
        <f t="shared" ref="AJ5" ca="1" si="35">IFERROR(IF(AH5="Bartender",(HLOOKUP(AG5,FriBarTable,6)*AB5)+AI5,AC5+AI5),"")</f>
        <v>232.99</v>
      </c>
      <c r="AK5" s="7">
        <f t="shared" ref="AK5" si="36">IF(AH5="Server",-AE5*AlcoholTipPercentage,0)+IF(AH5="Bartender",HLOOKUP(AG5,FriBarTable,5)*AB5)</f>
        <v>-17.009999999999998</v>
      </c>
      <c r="AL5" s="7" cm="1">
        <f t="array" ref="AL5">IFERROR(_xlfn.IFS(HLOOKUP(AG5,FriFoodTable,2)=0,0,OR(AH5="Server",AH5="Bartender"),-AD5*FoodTipPercentage,OR(AH5="Expo",AH5="Food Runner"),HLOOKUP(AG5,FriFoodTable,5)*AB5,AH5="Host",0),"")</f>
        <v>0</v>
      </c>
      <c r="AM5" s="7" cm="1">
        <f t="array" aca="1" ref="AM5" ca="1">IFERROR(_xlfn.IFS(HLOOKUP(AG5,FriHostTable,2)=0,0,OR(AH5="Server",AH5="Bartender"),-AF5*HostTipPercentage,AH5="Host",HLOOKUP(AG5,FriHostTable,5)*AB5,OR(AH5="Expo",AH5="Food Runner"),0),"")</f>
        <v>0</v>
      </c>
      <c r="AN5" s="4" t="s">
        <v>59</v>
      </c>
      <c r="AO5" s="5">
        <v>8</v>
      </c>
      <c r="AP5" s="4">
        <v>250</v>
      </c>
      <c r="AQ5" s="4">
        <v>897</v>
      </c>
      <c r="AR5" s="4">
        <v>567</v>
      </c>
      <c r="AS5" s="36">
        <f t="shared" si="24"/>
        <v>1464</v>
      </c>
      <c r="AT5" s="4" t="s">
        <v>20</v>
      </c>
      <c r="AU5" s="4" t="s">
        <v>15</v>
      </c>
      <c r="AV5" s="36">
        <f t="shared" ref="AV5" ca="1" si="37">IF(AU5="Bartender",(HLOOKUP(AT5,SunFoodTable,6)*AO5)+(HLOOKUP(AT5,SunHostTable,6)*AO5)+AX5,SUM(AX5,AY5,AZ5))</f>
        <v>6.0599999999999987</v>
      </c>
      <c r="AW5" s="36">
        <f t="shared" ref="AW5" ca="1" si="38">IFERROR(IF(AU5="Bartender",(HLOOKUP(AT5,SunBarTable,6)*AO5)+AV5,AP5+AV5),"")</f>
        <v>256.06</v>
      </c>
      <c r="AX5" s="7">
        <f t="shared" ref="AX5" si="39">IF(AU5="Server",-AR5*AlcoholTipPercentage,0)+IF(AU5="Bartender",HLOOKUP(AT5,SunBarTable,5)*AO5)</f>
        <v>24</v>
      </c>
      <c r="AY5" s="7" cm="1">
        <f t="array" aca="1" ref="AY5" ca="1">IFERROR(_xlfn.IFS(HLOOKUP(AT5,SunFoodTable,2)=0,0,OR(AU5="Server",AU5="Bartender"),-AQ5*FoodTipPercentage,OR(AU5="Expo",AU5="Food Runner"),HLOOKUP(AT5,SunFoodTable,5)*AO5,AU5="Host",0),"")</f>
        <v>-17.940000000000001</v>
      </c>
      <c r="AZ5" s="7" cm="1">
        <f t="array" aca="1" ref="AZ5" ca="1">IFERROR(_xlfn.IFS(HLOOKUP(AT5,SunHostTable,2)=0,0,OR(AU5="Server",AU5="Bartender"),-AS5*HostTipPercentage,AU5="Host",HLOOKUP(AT5,SunHostTable,5)*AO5,OR(AU5="Expo",AU5="Food Runner"),0),"")</f>
        <v>0</v>
      </c>
    </row>
    <row r="6" spans="1:60" x14ac:dyDescent="0.2">
      <c r="A6" s="9" t="s">
        <v>61</v>
      </c>
      <c r="B6" s="10">
        <v>8</v>
      </c>
      <c r="C6" s="9">
        <v>188</v>
      </c>
      <c r="D6" s="9">
        <v>846</v>
      </c>
      <c r="E6" s="9">
        <v>400</v>
      </c>
      <c r="F6" s="1">
        <f t="shared" si="12"/>
        <v>1246</v>
      </c>
      <c r="G6" s="9" t="s">
        <v>20</v>
      </c>
      <c r="H6" s="9" t="s">
        <v>18</v>
      </c>
      <c r="I6" s="1">
        <f t="shared" ref="I6" ca="1" si="40">IF(H6="Bartender",(HLOOKUP(G6,MonFoodTable,6)*B6)+(HLOOKUP(G6,MonHostTable,6)*B6)+K6,SUM(K6,L6,M6))</f>
        <v>-24.46</v>
      </c>
      <c r="J6" s="1">
        <f t="shared" ref="J6" ca="1" si="41">IFERROR(IF(H6="Bartender",(HLOOKUP(G6,MonBarTable,6)*B6)+I6,C6+I6),"")</f>
        <v>163.54</v>
      </c>
      <c r="K6" s="7">
        <f t="shared" ref="K6" si="42">IF(H6="Server",-E6*AlcoholTipPercentage,0)+IF(H6="Bartender",HLOOKUP(G6,MonBarTable,5)*B6)</f>
        <v>-12</v>
      </c>
      <c r="L6" s="7" cm="1">
        <f t="array" ref="L6">IFERROR(_xlfn.IFS(HLOOKUP(G6,MonFoodTable,2)=0,0,OR(H6="Server",H6="Bartender"),-D6*FoodTipPercentage,OR(H6="Expo",H6="Food Runner"),HLOOKUP(G6,MonFoodTable,5)*B6,H6="Host",0),"")</f>
        <v>0</v>
      </c>
      <c r="M6" s="7" cm="1">
        <f t="array" aca="1" ref="M6" ca="1">IFERROR(_xlfn.IFS(HLOOKUP(G6,MonHostTable,2)=0,0,OR(H6="Server",H6="Bartender"),-F6*HostTipPercentage,H6="Host",HLOOKUP(G6,MonHostTable,5)*B6,OR(H6="Expo",H6="Food Runner"),0),"")</f>
        <v>-12.46</v>
      </c>
      <c r="N6" s="4" t="s">
        <v>62</v>
      </c>
      <c r="O6" s="5">
        <v>6</v>
      </c>
      <c r="P6" s="4"/>
      <c r="Q6" s="4"/>
      <c r="R6" s="4"/>
      <c r="S6" s="3">
        <f t="shared" si="16"/>
        <v>0</v>
      </c>
      <c r="T6" s="4" t="s">
        <v>14</v>
      </c>
      <c r="U6" s="4" t="s">
        <v>30</v>
      </c>
      <c r="V6" s="3">
        <f t="shared" ref="V6" ca="1" si="43">IF(U6="Bartender",(HLOOKUP(T6,WedFoodTable,6)*O6)+(HLOOKUP(T6,WedHostTable,6)*O6)+X6,SUM(X6,Y6,Z6))</f>
        <v>36.07</v>
      </c>
      <c r="W6" s="3">
        <f t="shared" ref="W6" ca="1" si="44">IFERROR(IF(U6="Bartender",(HLOOKUP(T6,WedBarTable,6)*O6)+V6,P6+V6),"")</f>
        <v>36.07</v>
      </c>
      <c r="X6" s="7">
        <f t="shared" ref="X6" si="45">IF(U6="Server",-R6*AlcoholTipPercentage,0)+IF(U6="Bartender",HLOOKUP(T6,WedBarTable,5)*O6)</f>
        <v>0</v>
      </c>
      <c r="Y6" s="7" cm="1">
        <f t="array" ref="Y6">IFERROR(_xlfn.IFS(HLOOKUP(T6,WedFoodTable,2)=0,0,OR(U6="Server",U6="Bartender"),-Q6*FoodTipPercentage,OR(U6="Expo",U6="Food Runner"),HLOOKUP(T6,WedFoodTable,5)*O6,U6="Host",0),"")</f>
        <v>0</v>
      </c>
      <c r="Z6" s="7" cm="1">
        <f t="array" aca="1" ref="Z6" ca="1">IFERROR(_xlfn.IFS(HLOOKUP(T6,WedHostTable,2)=0,0,OR(U6="Server",U6="Bartender"),-S6*HostTipPercentage,U6="Host",HLOOKUP(T6,WedHostTable,5)*O6,OR(U6="Expo",U6="Food Runner"),0),"")</f>
        <v>36.07</v>
      </c>
      <c r="AA6" s="11" t="s">
        <v>61</v>
      </c>
      <c r="AB6" s="12">
        <v>8</v>
      </c>
      <c r="AC6" s="11">
        <v>188</v>
      </c>
      <c r="AD6" s="11">
        <v>846</v>
      </c>
      <c r="AE6" s="11">
        <v>400</v>
      </c>
      <c r="AF6" s="37">
        <f t="shared" si="20"/>
        <v>1246</v>
      </c>
      <c r="AG6" s="11" t="s">
        <v>14</v>
      </c>
      <c r="AH6" s="11" t="s">
        <v>18</v>
      </c>
      <c r="AI6" s="37">
        <f t="shared" ref="AI6" ca="1" si="46">IF(AH6="Bartender",(HLOOKUP(AG6,FriFoodTable,6)*AB6)+(HLOOKUP(AG6,FriHostTable,6)*AB6)+AK6,SUM(AK6,AL6,AM6))</f>
        <v>-12</v>
      </c>
      <c r="AJ6" s="37">
        <f t="shared" ref="AJ6" ca="1" si="47">IFERROR(IF(AH6="Bartender",(HLOOKUP(AG6,FriBarTable,6)*AB6)+AI6,AC6+AI6),"")</f>
        <v>176</v>
      </c>
      <c r="AK6" s="7">
        <f t="shared" ref="AK6" si="48">IF(AH6="Server",-AE6*AlcoholTipPercentage,0)+IF(AH6="Bartender",HLOOKUP(AG6,FriBarTable,5)*AB6)</f>
        <v>-12</v>
      </c>
      <c r="AL6" s="7" cm="1">
        <f t="array" ref="AL6">IFERROR(_xlfn.IFS(HLOOKUP(AG6,FriFoodTable,2)=0,0,OR(AH6="Server",AH6="Bartender"),-AD6*FoodTipPercentage,OR(AH6="Expo",AH6="Food Runner"),HLOOKUP(AG6,FriFoodTable,5)*AB6,AH6="Host",0),"")</f>
        <v>0</v>
      </c>
      <c r="AM6" s="7" cm="1">
        <f t="array" aca="1" ref="AM6" ca="1">IFERROR(_xlfn.IFS(HLOOKUP(AG6,FriHostTable,2)=0,0,OR(AH6="Server",AH6="Bartender"),-AF6*HostTipPercentage,AH6="Host",HLOOKUP(AG6,FriHostTable,5)*AB6,OR(AH6="Expo",AH6="Food Runner"),0),"")</f>
        <v>0</v>
      </c>
      <c r="AN6" s="4" t="s">
        <v>61</v>
      </c>
      <c r="AO6" s="5">
        <v>8</v>
      </c>
      <c r="AP6" s="4">
        <v>188</v>
      </c>
      <c r="AQ6" s="4">
        <v>846</v>
      </c>
      <c r="AR6" s="4">
        <v>400</v>
      </c>
      <c r="AS6" s="36">
        <f t="shared" si="24"/>
        <v>1246</v>
      </c>
      <c r="AT6" s="4" t="s">
        <v>20</v>
      </c>
      <c r="AU6" s="4" t="s">
        <v>18</v>
      </c>
      <c r="AV6" s="36">
        <f t="shared" ref="AV6" ca="1" si="49">IF(AU6="Bartender",(HLOOKUP(AT6,SunFoodTable,6)*AO6)+(HLOOKUP(AT6,SunHostTable,6)*AO6)+AX6,SUM(AX6,AY6,AZ6))</f>
        <v>-28.92</v>
      </c>
      <c r="AW6" s="36">
        <f t="shared" ref="AW6" ca="1" si="50">IFERROR(IF(AU6="Bartender",(HLOOKUP(AT6,SunBarTable,6)*AO6)+AV6,AP6+AV6),"")</f>
        <v>159.07999999999998</v>
      </c>
      <c r="AX6" s="7">
        <f t="shared" ref="AX6" si="51">IF(AU6="Server",-AR6*AlcoholTipPercentage,0)+IF(AU6="Bartender",HLOOKUP(AT6,SunBarTable,5)*AO6)</f>
        <v>-12</v>
      </c>
      <c r="AY6" s="7" cm="1">
        <f t="array" aca="1" ref="AY6" ca="1">IFERROR(_xlfn.IFS(HLOOKUP(AT6,SunFoodTable,2)=0,0,OR(AU6="Server",AU6="Bartender"),-AQ6*FoodTipPercentage,OR(AU6="Expo",AU6="Food Runner"),HLOOKUP(AT6,SunFoodTable,5)*AO6,AU6="Host",0),"")</f>
        <v>-16.920000000000002</v>
      </c>
      <c r="AZ6" s="7" cm="1">
        <f t="array" aca="1" ref="AZ6" ca="1">IFERROR(_xlfn.IFS(HLOOKUP(AT6,SunHostTable,2)=0,0,OR(AU6="Server",AU6="Bartender"),-AS6*HostTipPercentage,AU6="Host",HLOOKUP(AT6,SunHostTable,5)*AO6,OR(AU6="Expo",AU6="Food Runner"),0),"")</f>
        <v>0</v>
      </c>
    </row>
    <row r="7" spans="1:60" x14ac:dyDescent="0.2">
      <c r="A7" s="9" t="s">
        <v>63</v>
      </c>
      <c r="B7" s="10">
        <v>5</v>
      </c>
      <c r="C7" s="9">
        <v>135</v>
      </c>
      <c r="D7" s="9">
        <v>399</v>
      </c>
      <c r="E7" s="9">
        <v>400</v>
      </c>
      <c r="F7" s="1">
        <f t="shared" si="12"/>
        <v>799</v>
      </c>
      <c r="G7" s="9" t="s">
        <v>20</v>
      </c>
      <c r="H7" s="9" t="s">
        <v>18</v>
      </c>
      <c r="I7" s="1">
        <f t="shared" ref="I7" ca="1" si="52">IF(H7="Bartender",(HLOOKUP(G7,MonFoodTable,6)*B7)+(HLOOKUP(G7,MonHostTable,6)*B7)+K7,SUM(K7,L7,M7))</f>
        <v>-19.990000000000002</v>
      </c>
      <c r="J7" s="1">
        <f t="shared" ref="J7" ca="1" si="53">IFERROR(IF(H7="Bartender",(HLOOKUP(G7,MonBarTable,6)*B7)+I7,C7+I7),"")</f>
        <v>115.00999999999999</v>
      </c>
      <c r="K7" s="7">
        <f t="shared" ref="K7" si="54">IF(H7="Server",-E7*AlcoholTipPercentage,0)+IF(H7="Bartender",HLOOKUP(G7,MonBarTable,5)*B7)</f>
        <v>-12</v>
      </c>
      <c r="L7" s="7" cm="1">
        <f t="array" ref="L7">IFERROR(_xlfn.IFS(HLOOKUP(G7,MonFoodTable,2)=0,0,OR(H7="Server",H7="Bartender"),-D7*FoodTipPercentage,OR(H7="Expo",H7="Food Runner"),HLOOKUP(G7,MonFoodTable,5)*B7,H7="Host",0),"")</f>
        <v>0</v>
      </c>
      <c r="M7" s="7" cm="1">
        <f t="array" aca="1" ref="M7" ca="1">IFERROR(_xlfn.IFS(HLOOKUP(G7,MonHostTable,2)=0,0,OR(H7="Server",H7="Bartender"),-F7*HostTipPercentage,H7="Host",HLOOKUP(G7,MonHostTable,5)*B7,OR(H7="Expo",H7="Food Runner"),0),"")</f>
        <v>-7.99</v>
      </c>
      <c r="N7" s="4" t="s">
        <v>63</v>
      </c>
      <c r="O7" s="5">
        <v>8</v>
      </c>
      <c r="P7" s="4">
        <v>265</v>
      </c>
      <c r="Q7" s="4">
        <v>700</v>
      </c>
      <c r="R7" s="4">
        <v>674</v>
      </c>
      <c r="S7" s="3">
        <f t="shared" si="16"/>
        <v>1374</v>
      </c>
      <c r="T7" s="4" t="s">
        <v>20</v>
      </c>
      <c r="U7" s="4" t="s">
        <v>15</v>
      </c>
      <c r="V7" s="3">
        <f t="shared" ref="V7" ca="1" si="55">IF(U7="Bartender",(HLOOKUP(T7,WedFoodTable,6)*O7)+(HLOOKUP(T7,WedHostTable,6)*O7)+X7,SUM(X7,Y7,Z7))</f>
        <v>6.7323076923076925</v>
      </c>
      <c r="W7" s="3">
        <f t="shared" ref="W7" ca="1" si="56">IFERROR(IF(U7="Bartender",(HLOOKUP(T7,WedBarTable,6)*O7)+V7,P7+V7),"")</f>
        <v>340.27076923076925</v>
      </c>
      <c r="X7" s="7">
        <f t="shared" ref="X7" si="57">IF(U7="Server",-R7*AlcoholTipPercentage,0)+IF(U7="Bartender",HLOOKUP(T7,WedBarTable,5)*O7)</f>
        <v>34.596923076923076</v>
      </c>
      <c r="Y7" s="7" cm="1">
        <f t="array" aca="1" ref="Y7" ca="1">IFERROR(_xlfn.IFS(HLOOKUP(T7,WedFoodTable,2)=0,0,OR(U7="Server",U7="Bartender"),-Q7*FoodTipPercentage,OR(U7="Expo",U7="Food Runner"),HLOOKUP(T7,WedFoodTable,5)*O7,U7="Host",0),"")</f>
        <v>-14</v>
      </c>
      <c r="Z7" s="7" cm="1">
        <f t="array" aca="1" ref="Z7" ca="1">IFERROR(_xlfn.IFS(HLOOKUP(T7,WedHostTable,2)=0,0,OR(U7="Server",U7="Bartender"),-S7*HostTipPercentage,U7="Host",HLOOKUP(T7,WedHostTable,5)*O7,OR(U7="Expo",U7="Food Runner"),0),"")</f>
        <v>-13.74</v>
      </c>
      <c r="AA7" s="11" t="s">
        <v>63</v>
      </c>
      <c r="AB7" s="12">
        <v>5</v>
      </c>
      <c r="AC7" s="11">
        <v>135</v>
      </c>
      <c r="AD7" s="11">
        <v>399</v>
      </c>
      <c r="AE7" s="11">
        <v>400</v>
      </c>
      <c r="AF7" s="37">
        <f t="shared" si="20"/>
        <v>799</v>
      </c>
      <c r="AG7" s="11" t="s">
        <v>14</v>
      </c>
      <c r="AH7" s="11" t="s">
        <v>18</v>
      </c>
      <c r="AI7" s="37">
        <f t="shared" ref="AI7" ca="1" si="58">IF(AH7="Bartender",(HLOOKUP(AG7,FriFoodTable,6)*AB7)+(HLOOKUP(AG7,FriHostTable,6)*AB7)+AK7,SUM(AK7,AL7,AM7))</f>
        <v>-12</v>
      </c>
      <c r="AJ7" s="37">
        <f t="shared" ref="AJ7" ca="1" si="59">IFERROR(IF(AH7="Bartender",(HLOOKUP(AG7,FriBarTable,6)*AB7)+AI7,AC7+AI7),"")</f>
        <v>123</v>
      </c>
      <c r="AK7" s="7">
        <f t="shared" ref="AK7" si="60">IF(AH7="Server",-AE7*AlcoholTipPercentage,0)+IF(AH7="Bartender",HLOOKUP(AG7,FriBarTable,5)*AB7)</f>
        <v>-12</v>
      </c>
      <c r="AL7" s="7" cm="1">
        <f t="array" ref="AL7">IFERROR(_xlfn.IFS(HLOOKUP(AG7,FriFoodTable,2)=0,0,OR(AH7="Server",AH7="Bartender"),-AD7*FoodTipPercentage,OR(AH7="Expo",AH7="Food Runner"),HLOOKUP(AG7,FriFoodTable,5)*AB7,AH7="Host",0),"")</f>
        <v>0</v>
      </c>
      <c r="AM7" s="7" cm="1">
        <f t="array" aca="1" ref="AM7" ca="1">IFERROR(_xlfn.IFS(HLOOKUP(AG7,FriHostTable,2)=0,0,OR(AH7="Server",AH7="Bartender"),-AF7*HostTipPercentage,AH7="Host",HLOOKUP(AG7,FriHostTable,5)*AB7,OR(AH7="Expo",AH7="Food Runner"),0),"")</f>
        <v>0</v>
      </c>
      <c r="AN7" s="4" t="s">
        <v>63</v>
      </c>
      <c r="AO7" s="5">
        <v>5</v>
      </c>
      <c r="AP7" s="4">
        <v>135</v>
      </c>
      <c r="AQ7" s="4">
        <v>399</v>
      </c>
      <c r="AR7" s="4">
        <v>400</v>
      </c>
      <c r="AS7" s="36">
        <f t="shared" si="24"/>
        <v>799</v>
      </c>
      <c r="AT7" s="4" t="s">
        <v>20</v>
      </c>
      <c r="AU7" s="4" t="s">
        <v>18</v>
      </c>
      <c r="AV7" s="36">
        <f t="shared" ref="AV7" ca="1" si="61">IF(AU7="Bartender",(HLOOKUP(AT7,SunFoodTable,6)*AO7)+(HLOOKUP(AT7,SunHostTable,6)*AO7)+AX7,SUM(AX7,AY7,AZ7))</f>
        <v>-19.98</v>
      </c>
      <c r="AW7" s="36">
        <f t="shared" ref="AW7" ca="1" si="62">IFERROR(IF(AU7="Bartender",(HLOOKUP(AT7,SunBarTable,6)*AO7)+AV7,AP7+AV7),"")</f>
        <v>115.02</v>
      </c>
      <c r="AX7" s="7">
        <f t="shared" ref="AX7" si="63">IF(AU7="Server",-AR7*AlcoholTipPercentage,0)+IF(AU7="Bartender",HLOOKUP(AT7,SunBarTable,5)*AO7)</f>
        <v>-12</v>
      </c>
      <c r="AY7" s="7" cm="1">
        <f t="array" aca="1" ref="AY7" ca="1">IFERROR(_xlfn.IFS(HLOOKUP(AT7,SunFoodTable,2)=0,0,OR(AU7="Server",AU7="Bartender"),-AQ7*FoodTipPercentage,OR(AU7="Expo",AU7="Food Runner"),HLOOKUP(AT7,SunFoodTable,5)*AO7,AU7="Host",0),"")</f>
        <v>-7.98</v>
      </c>
      <c r="AZ7" s="7" cm="1">
        <f t="array" aca="1" ref="AZ7" ca="1">IFERROR(_xlfn.IFS(HLOOKUP(AT7,SunHostTable,2)=0,0,OR(AU7="Server",AU7="Bartender"),-AS7*HostTipPercentage,AU7="Host",HLOOKUP(AT7,SunHostTable,5)*AO7,OR(AU7="Expo",AU7="Food Runner"),0),"")</f>
        <v>0</v>
      </c>
    </row>
    <row r="8" spans="1:60" x14ac:dyDescent="0.2">
      <c r="A8" s="9" t="s">
        <v>65</v>
      </c>
      <c r="B8" s="10">
        <v>5</v>
      </c>
      <c r="C8" s="9">
        <v>110</v>
      </c>
      <c r="D8" s="9"/>
      <c r="E8" s="9"/>
      <c r="F8" s="1">
        <f t="shared" si="12"/>
        <v>0</v>
      </c>
      <c r="G8" s="9" t="s">
        <v>20</v>
      </c>
      <c r="H8" s="9" t="s">
        <v>30</v>
      </c>
      <c r="I8" s="1">
        <f t="shared" ref="I8" ca="1" si="64">IF(H8="Bartender",(HLOOKUP(G8,MonFoodTable,6)*B8)+(HLOOKUP(G8,MonHostTable,6)*B8)+K8,SUM(K8,L8,M8))</f>
        <v>35.090000000000003</v>
      </c>
      <c r="J8" s="1">
        <f t="shared" ref="J8" ca="1" si="65">IFERROR(IF(H8="Bartender",(HLOOKUP(G8,MonBarTable,6)*B8)+I8,C8+I8),"")</f>
        <v>145.09</v>
      </c>
      <c r="K8" s="7">
        <f t="shared" ref="K8" si="66">IF(H8="Server",-E8*AlcoholTipPercentage,0)+IF(H8="Bartender",HLOOKUP(G8,MonBarTable,5)*B8)</f>
        <v>0</v>
      </c>
      <c r="L8" s="7" cm="1">
        <f t="array" ref="L8">IFERROR(_xlfn.IFS(HLOOKUP(G8,MonFoodTable,2)=0,0,OR(H8="Server",H8="Bartender"),-D8*FoodTipPercentage,OR(H8="Expo",H8="Food Runner"),HLOOKUP(G8,MonFoodTable,5)*B8,H8="Host",0),"")</f>
        <v>0</v>
      </c>
      <c r="M8" s="7" cm="1">
        <f t="array" aca="1" ref="M8" ca="1">IFERROR(_xlfn.IFS(HLOOKUP(G8,MonHostTable,2)=0,0,OR(H8="Server",H8="Bartender"),-F8*HostTipPercentage,H8="Host",HLOOKUP(G8,MonHostTable,5)*B8,OR(H8="Expo",H8="Food Runner"),0),"")</f>
        <v>35.090000000000003</v>
      </c>
      <c r="N8" s="4" t="s">
        <v>57</v>
      </c>
      <c r="O8" s="5">
        <v>5</v>
      </c>
      <c r="P8" s="4">
        <v>277</v>
      </c>
      <c r="Q8" s="4">
        <v>300</v>
      </c>
      <c r="R8" s="4">
        <v>854</v>
      </c>
      <c r="S8" s="3">
        <f t="shared" si="16"/>
        <v>1154</v>
      </c>
      <c r="T8" s="4" t="s">
        <v>20</v>
      </c>
      <c r="U8" s="4" t="s">
        <v>15</v>
      </c>
      <c r="V8" s="3">
        <f t="shared" ref="V8" ca="1" si="67">IF(U8="Bartender",(HLOOKUP(T8,WedFoodTable,6)*O8)+(HLOOKUP(T8,WedHostTable,6)*O8)+X8,SUM(X8,Y8,Z8))</f>
        <v>4.2076923076923052</v>
      </c>
      <c r="W8" s="3">
        <f t="shared" ref="W8" ca="1" si="68">IFERROR(IF(U8="Bartender",(HLOOKUP(T8,WedBarTable,6)*O8)+V8,P8+V8),"")</f>
        <v>212.66923076923075</v>
      </c>
      <c r="X8" s="7">
        <f t="shared" ref="X8" si="69">IF(U8="Server",-R8*AlcoholTipPercentage,0)+IF(U8="Bartender",HLOOKUP(T8,WedBarTable,5)*O8)</f>
        <v>21.623076923076923</v>
      </c>
      <c r="Y8" s="7" cm="1">
        <f t="array" aca="1" ref="Y8" ca="1">IFERROR(_xlfn.IFS(HLOOKUP(T8,WedFoodTable,2)=0,0,OR(U8="Server",U8="Bartender"),-Q8*FoodTipPercentage,OR(U8="Expo",U8="Food Runner"),HLOOKUP(T8,WedFoodTable,5)*O8,U8="Host",0),"")</f>
        <v>-6</v>
      </c>
      <c r="Z8" s="7" cm="1">
        <f t="array" aca="1" ref="Z8" ca="1">IFERROR(_xlfn.IFS(HLOOKUP(T8,WedHostTable,2)=0,0,OR(U8="Server",U8="Bartender"),-S8*HostTipPercentage,U8="Host",HLOOKUP(T8,WedHostTable,5)*O8,OR(U8="Expo",U8="Food Runner"),0),"")</f>
        <v>-11.540000000000001</v>
      </c>
      <c r="AA8" s="11" t="s">
        <v>57</v>
      </c>
      <c r="AB8" s="12">
        <v>7</v>
      </c>
      <c r="AC8" s="11">
        <v>351</v>
      </c>
      <c r="AD8" s="11">
        <v>350</v>
      </c>
      <c r="AE8" s="11">
        <v>345</v>
      </c>
      <c r="AF8" s="37">
        <f t="shared" si="20"/>
        <v>695</v>
      </c>
      <c r="AG8" s="11" t="s">
        <v>20</v>
      </c>
      <c r="AH8" s="11" t="s">
        <v>15</v>
      </c>
      <c r="AI8" s="37">
        <f t="shared" ref="AI8" ca="1" si="70">IF(AH8="Bartender",(HLOOKUP(AG8,FriFoodTable,6)*AB8)+(HLOOKUP(AG8,FriHostTable,6)*AB8)+AK8,SUM(AK8,AL8,AM8))</f>
        <v>12.715</v>
      </c>
      <c r="AJ8" s="37">
        <f t="shared" ref="AJ8" ca="1" si="71">IFERROR(IF(AH8="Bartender",(HLOOKUP(AG8,FriBarTable,6)*AB8)+AI8,AC8+AI8),"")</f>
        <v>193.215</v>
      </c>
      <c r="AK8" s="7">
        <f t="shared" ref="AK8" si="72">IF(AH8="Server",-AE8*AlcoholTipPercentage,0)+IF(AH8="Bartender",HLOOKUP(AG8,FriBarTable,5)*AB8)</f>
        <v>21</v>
      </c>
      <c r="AL8" s="7" cm="1">
        <f t="array" aca="1" ref="AL8" ca="1">IFERROR(_xlfn.IFS(HLOOKUP(AG8,FriFoodTable,2)=0,0,OR(AH8="Server",AH8="Bartender"),-AD8*FoodTipPercentage,OR(AH8="Expo",AH8="Food Runner"),HLOOKUP(AG8,FriFoodTable,5)*AB8,AH8="Host",0),"")</f>
        <v>-7</v>
      </c>
      <c r="AM8" s="7" cm="1">
        <f t="array" aca="1" ref="AM8" ca="1">IFERROR(_xlfn.IFS(HLOOKUP(AG8,FriHostTable,2)=0,0,OR(AH8="Server",AH8="Bartender"),-AF8*HostTipPercentage,AH8="Host",HLOOKUP(AG8,FriHostTable,5)*AB8,OR(AH8="Expo",AH8="Food Runner"),0),"")</f>
        <v>-6.95</v>
      </c>
      <c r="AN8" s="4" t="s">
        <v>58</v>
      </c>
      <c r="AO8" s="5">
        <v>6</v>
      </c>
      <c r="AP8" s="4"/>
      <c r="AQ8" s="4"/>
      <c r="AR8" s="4"/>
      <c r="AS8" s="36">
        <f t="shared" si="24"/>
        <v>0</v>
      </c>
      <c r="AT8" s="4" t="s">
        <v>14</v>
      </c>
      <c r="AU8" s="4" t="s">
        <v>33</v>
      </c>
      <c r="AV8" s="36">
        <f t="shared" ref="AV8" ca="1" si="73">IF(AU8="Bartender",(HLOOKUP(AT8,SunFoodTable,6)*AO8)+(HLOOKUP(AT8,SunHostTable,6)*AO8)+AX8,SUM(AX8,AY8,AZ8))</f>
        <v>32</v>
      </c>
      <c r="AW8" s="36">
        <f t="shared" ref="AW8" ca="1" si="74">IFERROR(IF(AU8="Bartender",(HLOOKUP(AT8,SunBarTable,6)*AO8)+AV8,AP8+AV8),"")</f>
        <v>32</v>
      </c>
      <c r="AX8" s="7">
        <f t="shared" ref="AX8" si="75">IF(AU8="Server",-AR8*AlcoholTipPercentage,0)+IF(AU8="Bartender",HLOOKUP(AT8,SunBarTable,5)*AO8)</f>
        <v>0</v>
      </c>
      <c r="AY8" s="7" cm="1">
        <f t="array" aca="1" ref="AY8" ca="1">IFERROR(_xlfn.IFS(HLOOKUP(AT8,SunFoodTable,2)=0,0,OR(AU8="Server",AU8="Bartender"),-AQ8*FoodTipPercentage,OR(AU8="Expo",AU8="Food Runner"),HLOOKUP(AT8,SunFoodTable,5)*AO8,AU8="Host",0),"")</f>
        <v>32</v>
      </c>
      <c r="AZ8" s="7" cm="1">
        <f t="array" aca="1" ref="AZ8" ca="1">IFERROR(_xlfn.IFS(HLOOKUP(AT8,SunHostTable,2)=0,0,OR(AU8="Server",AU8="Bartender"),-AS8*HostTipPercentage,AU8="Host",HLOOKUP(AT8,SunHostTable,5)*AO8,OR(AU8="Expo",AU8="Food Runner"),0),"")</f>
        <v>0</v>
      </c>
    </row>
    <row r="9" spans="1:60" x14ac:dyDescent="0.2">
      <c r="A9" s="9"/>
      <c r="B9" s="10"/>
      <c r="C9" s="9"/>
      <c r="D9" s="9"/>
      <c r="E9" s="9"/>
      <c r="F9" s="1">
        <f t="shared" si="12"/>
        <v>0</v>
      </c>
      <c r="G9" s="9"/>
      <c r="H9" s="9"/>
      <c r="I9" s="1">
        <f t="shared" ref="I9" si="76">IF(H9="Bartender",(HLOOKUP(G9,MonFoodTable,6)*B9)+(HLOOKUP(G9,MonHostTable,6)*B9)+K9,SUM(K9,L9,M9))</f>
        <v>0</v>
      </c>
      <c r="J9" s="1">
        <f t="shared" ref="J9" si="77">IFERROR(IF(H9="Bartender",(HLOOKUP(G9,MonBarTable,6)*B9)+I9,C9+I9),"")</f>
        <v>0</v>
      </c>
      <c r="K9" s="7">
        <f t="shared" ref="K9" si="78">IF(H9="Server",-E9*AlcoholTipPercentage,0)+IF(H9="Bartender",HLOOKUP(G9,MonBarTable,5)*B9)</f>
        <v>0</v>
      </c>
      <c r="L9" s="7" t="str" cm="1">
        <f t="array" ref="L9">IFERROR(_xlfn.IFS(HLOOKUP(G9,MonFoodTable,2)=0,0,OR(H9="Server",H9="Bartender"),-D9*FoodTipPercentage,OR(H9="Expo",H9="Food Runner"),HLOOKUP(G9,MonFoodTable,5)*B9,H9="Host",0),"")</f>
        <v/>
      </c>
      <c r="M9" s="7" t="str" cm="1">
        <f t="array" ref="M9">IFERROR(_xlfn.IFS(HLOOKUP(G9,MonHostTable,2)=0,0,OR(H9="Server",H9="Bartender"),-F9*HostTipPercentage,H9="Host",HLOOKUP(G9,MonHostTable,5)*B9,OR(H9="Expo",H9="Food Runner"),0),"")</f>
        <v/>
      </c>
      <c r="N9" s="4" t="s">
        <v>55</v>
      </c>
      <c r="O9" s="5">
        <v>8</v>
      </c>
      <c r="P9" s="4">
        <v>211</v>
      </c>
      <c r="Q9" s="4">
        <v>776</v>
      </c>
      <c r="R9" s="4">
        <v>574</v>
      </c>
      <c r="S9" s="3">
        <f t="shared" si="16"/>
        <v>1350</v>
      </c>
      <c r="T9" s="4" t="s">
        <v>20</v>
      </c>
      <c r="U9" s="4" t="s">
        <v>18</v>
      </c>
      <c r="V9" s="3">
        <f t="shared" ref="V9" ca="1" si="79">IF(U9="Bartender",(HLOOKUP(T9,WedFoodTable,6)*O9)+(HLOOKUP(T9,WedHostTable,6)*O9)+X9,SUM(X9,Y9,Z9))</f>
        <v>-46.239999999999995</v>
      </c>
      <c r="W9" s="3">
        <f t="shared" ref="W9" ca="1" si="80">IFERROR(IF(U9="Bartender",(HLOOKUP(T9,WedBarTable,6)*O9)+V9,P9+V9),"")</f>
        <v>164.76</v>
      </c>
      <c r="X9" s="7">
        <f t="shared" ref="X9" si="81">IF(U9="Server",-R9*AlcoholTipPercentage,0)+IF(U9="Bartender",HLOOKUP(T9,WedBarTable,5)*O9)</f>
        <v>-17.22</v>
      </c>
      <c r="Y9" s="7" cm="1">
        <f t="array" aca="1" ref="Y9" ca="1">IFERROR(_xlfn.IFS(HLOOKUP(T9,WedFoodTable,2)=0,0,OR(U9="Server",U9="Bartender"),-Q9*FoodTipPercentage,OR(U9="Expo",U9="Food Runner"),HLOOKUP(T9,WedFoodTable,5)*O9,U9="Host",0),"")</f>
        <v>-15.52</v>
      </c>
      <c r="Z9" s="7" cm="1">
        <f t="array" aca="1" ref="Z9" ca="1">IFERROR(_xlfn.IFS(HLOOKUP(T9,WedHostTable,2)=0,0,OR(U9="Server",U9="Bartender"),-S9*HostTipPercentage,U9="Host",HLOOKUP(T9,WedHostTable,5)*O9,OR(U9="Expo",U9="Food Runner"),0),"")</f>
        <v>-13.5</v>
      </c>
      <c r="AA9" s="11" t="s">
        <v>55</v>
      </c>
      <c r="AB9" s="12">
        <v>7</v>
      </c>
      <c r="AC9" s="11">
        <v>10</v>
      </c>
      <c r="AD9" s="11">
        <v>9</v>
      </c>
      <c r="AE9" s="11">
        <v>235</v>
      </c>
      <c r="AF9" s="37">
        <f t="shared" si="20"/>
        <v>244</v>
      </c>
      <c r="AG9" s="11" t="s">
        <v>20</v>
      </c>
      <c r="AH9" s="11" t="s">
        <v>15</v>
      </c>
      <c r="AI9" s="37">
        <f t="shared" ref="AI9" ca="1" si="82">IF(AH9="Bartender",(HLOOKUP(AG9,FriFoodTable,6)*AB9)+(HLOOKUP(AG9,FriHostTable,6)*AB9)+AK9,SUM(AK9,AL9,AM9))</f>
        <v>12.715</v>
      </c>
      <c r="AJ9" s="37">
        <f t="shared" ref="AJ9" ca="1" si="83">IFERROR(IF(AH9="Bartender",(HLOOKUP(AG9,FriBarTable,6)*AB9)+AI9,AC9+AI9),"")</f>
        <v>193.215</v>
      </c>
      <c r="AK9" s="7">
        <f t="shared" ref="AK9" si="84">IF(AH9="Server",-AE9*AlcoholTipPercentage,0)+IF(AH9="Bartender",HLOOKUP(AG9,FriBarTable,5)*AB9)</f>
        <v>21</v>
      </c>
      <c r="AL9" s="7" cm="1">
        <f t="array" aca="1" ref="AL9" ca="1">IFERROR(_xlfn.IFS(HLOOKUP(AG9,FriFoodTable,2)=0,0,OR(AH9="Server",AH9="Bartender"),-AD9*FoodTipPercentage,OR(AH9="Expo",AH9="Food Runner"),HLOOKUP(AG9,FriFoodTable,5)*AB9,AH9="Host",0),"")</f>
        <v>-0.18</v>
      </c>
      <c r="AM9" s="7" cm="1">
        <f t="array" aca="1" ref="AM9" ca="1">IFERROR(_xlfn.IFS(HLOOKUP(AG9,FriHostTable,2)=0,0,OR(AH9="Server",AH9="Bartender"),-AF9*HostTipPercentage,AH9="Host",HLOOKUP(AG9,FriHostTable,5)*AB9,OR(AH9="Expo",AH9="Food Runner"),0),"")</f>
        <v>-2.44</v>
      </c>
      <c r="AN9" s="4" t="s">
        <v>60</v>
      </c>
      <c r="AO9" s="5">
        <v>7</v>
      </c>
      <c r="AP9" s="4"/>
      <c r="AQ9" s="4"/>
      <c r="AR9" s="4"/>
      <c r="AS9" s="36">
        <f t="shared" si="24"/>
        <v>0</v>
      </c>
      <c r="AT9" s="4" t="s">
        <v>20</v>
      </c>
      <c r="AU9" s="4" t="s">
        <v>26</v>
      </c>
      <c r="AV9" s="36">
        <f t="shared" ref="AV9" ca="1" si="85">IF(AU9="Bartender",(HLOOKUP(AT9,SunFoodTable,6)*AO9)+(HLOOKUP(AT9,SunHostTable,6)*AO9)+AX9,SUM(AX9,AY9,AZ9))</f>
        <v>42.84</v>
      </c>
      <c r="AW9" s="36">
        <f t="shared" ref="AW9" ca="1" si="86">IFERROR(IF(AU9="Bartender",(HLOOKUP(AT9,SunBarTable,6)*AO9)+AV9,AP9+AV9),"")</f>
        <v>42.84</v>
      </c>
      <c r="AX9" s="7">
        <f t="shared" ref="AX9" si="87">IF(AU9="Server",-AR9*AlcoholTipPercentage,0)+IF(AU9="Bartender",HLOOKUP(AT9,SunBarTable,5)*AO9)</f>
        <v>0</v>
      </c>
      <c r="AY9" s="7" cm="1">
        <f t="array" aca="1" ref="AY9" ca="1">IFERROR(_xlfn.IFS(HLOOKUP(AT9,SunFoodTable,2)=0,0,OR(AU9="Server",AU9="Bartender"),-AQ9*FoodTipPercentage,OR(AU9="Expo",AU9="Food Runner"),HLOOKUP(AT9,SunFoodTable,5)*AO9,AU9="Host",0),"")</f>
        <v>42.84</v>
      </c>
      <c r="AZ9" s="7" cm="1">
        <f t="array" aca="1" ref="AZ9" ca="1">IFERROR(_xlfn.IFS(HLOOKUP(AT9,SunHostTable,2)=0,0,OR(AU9="Server",AU9="Bartender"),-AS9*HostTipPercentage,AU9="Host",HLOOKUP(AT9,SunHostTable,5)*AO9,OR(AU9="Expo",AU9="Food Runner"),0),"")</f>
        <v>0</v>
      </c>
    </row>
    <row r="10" spans="1:60" x14ac:dyDescent="0.2">
      <c r="A10" s="9"/>
      <c r="B10" s="10"/>
      <c r="C10" s="9"/>
      <c r="D10" s="9"/>
      <c r="E10" s="9"/>
      <c r="F10" s="1">
        <f t="shared" si="12"/>
        <v>0</v>
      </c>
      <c r="G10" s="9"/>
      <c r="H10" s="9"/>
      <c r="I10" s="1">
        <f t="shared" ref="I10" si="88">IF(H10="Bartender",(HLOOKUP(G10,MonFoodTable,6)*B10)+(HLOOKUP(G10,MonHostTable,6)*B10)+K10,SUM(K10,L10,M10))</f>
        <v>0</v>
      </c>
      <c r="J10" s="1">
        <f t="shared" ref="J10" si="89">IFERROR(IF(H10="Bartender",(HLOOKUP(G10,MonBarTable,6)*B10)+I10,C10+I10),"")</f>
        <v>0</v>
      </c>
      <c r="K10" s="7">
        <f t="shared" ref="K10" si="90">IF(H10="Server",-E10*AlcoholTipPercentage,0)+IF(H10="Bartender",HLOOKUP(G10,MonBarTable,5)*B10)</f>
        <v>0</v>
      </c>
      <c r="L10" s="7" t="str" cm="1">
        <f t="array" ref="L10">IFERROR(_xlfn.IFS(HLOOKUP(G10,MonFoodTable,2)=0,0,OR(H10="Server",H10="Bartender"),-D10*FoodTipPercentage,OR(H10="Expo",H10="Food Runner"),HLOOKUP(G10,MonFoodTable,5)*B10,H10="Host",0),"")</f>
        <v/>
      </c>
      <c r="M10" s="7" t="str" cm="1">
        <f t="array" ref="M10">IFERROR(_xlfn.IFS(HLOOKUP(G10,MonHostTable,2)=0,0,OR(H10="Server",H10="Bartender"),-F10*HostTipPercentage,H10="Host",HLOOKUP(G10,MonHostTable,5)*B10,OR(H10="Expo",H10="Food Runner"),0),"")</f>
        <v/>
      </c>
      <c r="N10" s="4" t="s">
        <v>61</v>
      </c>
      <c r="O10" s="5">
        <v>7</v>
      </c>
      <c r="P10" s="4">
        <v>129</v>
      </c>
      <c r="Q10" s="4">
        <v>584</v>
      </c>
      <c r="R10" s="4">
        <v>500</v>
      </c>
      <c r="S10" s="3">
        <f t="shared" si="16"/>
        <v>1084</v>
      </c>
      <c r="T10" s="4" t="s">
        <v>20</v>
      </c>
      <c r="U10" s="4" t="s">
        <v>18</v>
      </c>
      <c r="V10" s="3">
        <f t="shared" ref="V10" ca="1" si="91">IF(U10="Bartender",(HLOOKUP(T10,WedFoodTable,6)*O10)+(HLOOKUP(T10,WedHostTable,6)*O10)+X10,SUM(X10,Y10,Z10))</f>
        <v>-37.519999999999996</v>
      </c>
      <c r="W10" s="3">
        <f t="shared" ref="W10" ca="1" si="92">IFERROR(IF(U10="Bartender",(HLOOKUP(T10,WedBarTable,6)*O10)+V10,P10+V10),"")</f>
        <v>91.48</v>
      </c>
      <c r="X10" s="7">
        <f t="shared" ref="X10" si="93">IF(U10="Server",-R10*AlcoholTipPercentage,0)+IF(U10="Bartender",HLOOKUP(T10,WedBarTable,5)*O10)</f>
        <v>-15</v>
      </c>
      <c r="Y10" s="7" cm="1">
        <f t="array" aca="1" ref="Y10" ca="1">IFERROR(_xlfn.IFS(HLOOKUP(T10,WedFoodTable,2)=0,0,OR(U10="Server",U10="Bartender"),-Q10*FoodTipPercentage,OR(U10="Expo",U10="Food Runner"),HLOOKUP(T10,WedFoodTable,5)*O10,U10="Host",0),"")</f>
        <v>-11.68</v>
      </c>
      <c r="Z10" s="7" cm="1">
        <f t="array" aca="1" ref="Z10" ca="1">IFERROR(_xlfn.IFS(HLOOKUP(T10,WedHostTable,2)=0,0,OR(U10="Server",U10="Bartender"),-S10*HostTipPercentage,U10="Host",HLOOKUP(T10,WedHostTable,5)*O10,OR(U10="Expo",U10="Food Runner"),0),"")</f>
        <v>-10.84</v>
      </c>
      <c r="AA10" s="11" t="s">
        <v>61</v>
      </c>
      <c r="AB10" s="12">
        <v>6</v>
      </c>
      <c r="AC10" s="11">
        <v>187</v>
      </c>
      <c r="AD10" s="11">
        <v>697</v>
      </c>
      <c r="AE10" s="11">
        <v>496</v>
      </c>
      <c r="AF10" s="37">
        <f t="shared" si="20"/>
        <v>1193</v>
      </c>
      <c r="AG10" s="11" t="s">
        <v>20</v>
      </c>
      <c r="AH10" s="11" t="s">
        <v>18</v>
      </c>
      <c r="AI10" s="37">
        <f t="shared" ref="AI10" ca="1" si="94">IF(AH10="Bartender",(HLOOKUP(AG10,FriFoodTable,6)*AB10)+(HLOOKUP(AG10,FriHostTable,6)*AB10)+AK10,SUM(AK10,AL10,AM10))</f>
        <v>-40.75</v>
      </c>
      <c r="AJ10" s="37">
        <f t="shared" ref="AJ10" ca="1" si="95">IFERROR(IF(AH10="Bartender",(HLOOKUP(AG10,FriBarTable,6)*AB10)+AI10,AC10+AI10),"")</f>
        <v>146.25</v>
      </c>
      <c r="AK10" s="7">
        <f t="shared" ref="AK10" si="96">IF(AH10="Server",-AE10*AlcoholTipPercentage,0)+IF(AH10="Bartender",HLOOKUP(AG10,FriBarTable,5)*AB10)</f>
        <v>-14.879999999999999</v>
      </c>
      <c r="AL10" s="7" cm="1">
        <f t="array" aca="1" ref="AL10" ca="1">IFERROR(_xlfn.IFS(HLOOKUP(AG10,FriFoodTable,2)=0,0,OR(AH10="Server",AH10="Bartender"),-AD10*FoodTipPercentage,OR(AH10="Expo",AH10="Food Runner"),HLOOKUP(AG10,FriFoodTable,5)*AB10,AH10="Host",0),"")</f>
        <v>-13.94</v>
      </c>
      <c r="AM10" s="7" cm="1">
        <f t="array" aca="1" ref="AM10" ca="1">IFERROR(_xlfn.IFS(HLOOKUP(AG10,FriHostTable,2)=0,0,OR(AH10="Server",AH10="Bartender"),-AF10*HostTipPercentage,AH10="Host",HLOOKUP(AG10,FriHostTable,5)*AB10,OR(AH10="Expo",AH10="Food Runner"),0),"")</f>
        <v>-11.93</v>
      </c>
      <c r="AN10" s="4"/>
      <c r="AO10" s="5"/>
      <c r="AP10" s="4"/>
      <c r="AQ10" s="4"/>
      <c r="AR10" s="4"/>
      <c r="AS10" s="36">
        <f t="shared" si="24"/>
        <v>0</v>
      </c>
      <c r="AT10" s="4"/>
      <c r="AU10" s="4"/>
      <c r="AV10" s="36">
        <f t="shared" ref="AV10" si="97">IF(AU10="Bartender",(HLOOKUP(AT10,SunFoodTable,6)*AO10)+(HLOOKUP(AT10,SunHostTable,6)*AO10)+AX10,SUM(AX10,AY10,AZ10))</f>
        <v>0</v>
      </c>
      <c r="AW10" s="36">
        <f t="shared" ref="AW10" si="98">IFERROR(IF(AU10="Bartender",(HLOOKUP(AT10,SunBarTable,6)*AO10)+AV10,AP10+AV10),"")</f>
        <v>0</v>
      </c>
      <c r="AX10" s="7">
        <f t="shared" ref="AX10" si="99">IF(AU10="Server",-AR10*AlcoholTipPercentage,0)+IF(AU10="Bartender",HLOOKUP(AT10,SunBarTable,5)*AO10)</f>
        <v>0</v>
      </c>
      <c r="AY10" s="7" t="str" cm="1">
        <f t="array" ref="AY10">IFERROR(_xlfn.IFS(HLOOKUP(AT10,SunFoodTable,2)=0,0,OR(AU10="Server",AU10="Bartender"),-AQ10*FoodTipPercentage,OR(AU10="Expo",AU10="Food Runner"),HLOOKUP(AT10,SunFoodTable,5)*AO10,AU10="Host",0),"")</f>
        <v/>
      </c>
      <c r="AZ10" s="7" t="str" cm="1">
        <f t="array" ref="AZ10">IFERROR(_xlfn.IFS(HLOOKUP(AT10,SunHostTable,2)=0,0,OR(AU10="Server",AU10="Bartender"),-AS10*HostTipPercentage,AU10="Host",HLOOKUP(AT10,SunHostTable,5)*AO10,OR(AU10="Expo",AU10="Food Runner"),0),"")</f>
        <v/>
      </c>
    </row>
    <row r="11" spans="1:60" x14ac:dyDescent="0.2">
      <c r="A11" s="9"/>
      <c r="B11" s="10"/>
      <c r="C11" s="9"/>
      <c r="D11" s="9"/>
      <c r="E11" s="9"/>
      <c r="F11" s="1">
        <f t="shared" si="12"/>
        <v>0</v>
      </c>
      <c r="G11" s="9"/>
      <c r="H11" s="9"/>
      <c r="I11" s="1">
        <f t="shared" ref="I11" si="100">IF(H11="Bartender",(HLOOKUP(G11,MonFoodTable,6)*B11)+(HLOOKUP(G11,MonHostTable,6)*B11)+K11,SUM(K11,L11,M11))</f>
        <v>0</v>
      </c>
      <c r="J11" s="1">
        <f t="shared" ref="J11" si="101">IFERROR(IF(H11="Bartender",(HLOOKUP(G11,MonBarTable,6)*B11)+I11,C11+I11),"")</f>
        <v>0</v>
      </c>
      <c r="K11" s="7">
        <f t="shared" ref="K11" si="102">IF(H11="Server",-E11*AlcoholTipPercentage,0)+IF(H11="Bartender",HLOOKUP(G11,MonBarTable,5)*B11)</f>
        <v>0</v>
      </c>
      <c r="L11" s="7" t="str" cm="1">
        <f t="array" ref="L11">IFERROR(_xlfn.IFS(HLOOKUP(G11,MonFoodTable,2)=0,0,OR(H11="Server",H11="Bartender"),-D11*FoodTipPercentage,OR(H11="Expo",H11="Food Runner"),HLOOKUP(G11,MonFoodTable,5)*B11,H11="Host",0),"")</f>
        <v/>
      </c>
      <c r="M11" s="7" t="str" cm="1">
        <f t="array" ref="M11">IFERROR(_xlfn.IFS(HLOOKUP(G11,MonHostTable,2)=0,0,OR(H11="Server",H11="Bartender"),-F11*HostTipPercentage,H11="Host",HLOOKUP(G11,MonHostTable,5)*B11,OR(H11="Expo",H11="Food Runner"),0),"")</f>
        <v/>
      </c>
      <c r="N11" s="4" t="s">
        <v>59</v>
      </c>
      <c r="O11" s="5">
        <v>6</v>
      </c>
      <c r="P11" s="4">
        <v>186</v>
      </c>
      <c r="Q11" s="4">
        <v>387</v>
      </c>
      <c r="R11" s="4">
        <v>800</v>
      </c>
      <c r="S11" s="3">
        <f t="shared" si="16"/>
        <v>1187</v>
      </c>
      <c r="T11" s="4" t="s">
        <v>20</v>
      </c>
      <c r="U11" s="4" t="s">
        <v>18</v>
      </c>
      <c r="V11" s="3">
        <f t="shared" ref="V11" ca="1" si="103">IF(U11="Bartender",(HLOOKUP(T11,WedFoodTable,6)*O11)+(HLOOKUP(T11,WedHostTable,6)*O11)+X11,SUM(X11,Y11,Z11))</f>
        <v>-43.61</v>
      </c>
      <c r="W11" s="3">
        <f t="shared" ref="W11" ca="1" si="104">IFERROR(IF(U11="Bartender",(HLOOKUP(T11,WedBarTable,6)*O11)+V11,P11+V11),"")</f>
        <v>142.38999999999999</v>
      </c>
      <c r="X11" s="7">
        <f t="shared" ref="X11" si="105">IF(U11="Server",-R11*AlcoholTipPercentage,0)+IF(U11="Bartender",HLOOKUP(T11,WedBarTable,5)*O11)</f>
        <v>-24</v>
      </c>
      <c r="Y11" s="7" cm="1">
        <f t="array" aca="1" ref="Y11" ca="1">IFERROR(_xlfn.IFS(HLOOKUP(T11,WedFoodTable,2)=0,0,OR(U11="Server",U11="Bartender"),-Q11*FoodTipPercentage,OR(U11="Expo",U11="Food Runner"),HLOOKUP(T11,WedFoodTable,5)*O11,U11="Host",0),"")</f>
        <v>-7.74</v>
      </c>
      <c r="Z11" s="7" cm="1">
        <f t="array" aca="1" ref="Z11" ca="1">IFERROR(_xlfn.IFS(HLOOKUP(T11,WedHostTable,2)=0,0,OR(U11="Server",U11="Bartender"),-S11*HostTipPercentage,U11="Host",HLOOKUP(T11,WedHostTable,5)*O11,OR(U11="Expo",U11="Food Runner"),0),"")</f>
        <v>-11.870000000000001</v>
      </c>
      <c r="AA11" s="11" t="s">
        <v>59</v>
      </c>
      <c r="AB11" s="12">
        <v>7</v>
      </c>
      <c r="AC11" s="11">
        <v>264</v>
      </c>
      <c r="AD11" s="11">
        <v>975</v>
      </c>
      <c r="AE11" s="11">
        <v>594</v>
      </c>
      <c r="AF11" s="37">
        <f t="shared" si="20"/>
        <v>1569</v>
      </c>
      <c r="AG11" s="11" t="s">
        <v>20</v>
      </c>
      <c r="AH11" s="11" t="s">
        <v>18</v>
      </c>
      <c r="AI11" s="37">
        <f t="shared" ref="AI11" ca="1" si="106">IF(AH11="Bartender",(HLOOKUP(AG11,FriFoodTable,6)*AB11)+(HLOOKUP(AG11,FriHostTable,6)*AB11)+AK11,SUM(AK11,AL11,AM11))</f>
        <v>-53.01</v>
      </c>
      <c r="AJ11" s="37">
        <f t="shared" ref="AJ11" ca="1" si="107">IFERROR(IF(AH11="Bartender",(HLOOKUP(AG11,FriBarTable,6)*AB11)+AI11,AC11+AI11),"")</f>
        <v>210.99</v>
      </c>
      <c r="AK11" s="7">
        <f t="shared" ref="AK11" si="108">IF(AH11="Server",-AE11*AlcoholTipPercentage,0)+IF(AH11="Bartender",HLOOKUP(AG11,FriBarTable,5)*AB11)</f>
        <v>-17.82</v>
      </c>
      <c r="AL11" s="7" cm="1">
        <f t="array" aca="1" ref="AL11" ca="1">IFERROR(_xlfn.IFS(HLOOKUP(AG11,FriFoodTable,2)=0,0,OR(AH11="Server",AH11="Bartender"),-AD11*FoodTipPercentage,OR(AH11="Expo",AH11="Food Runner"),HLOOKUP(AG11,FriFoodTable,5)*AB11,AH11="Host",0),"")</f>
        <v>-19.5</v>
      </c>
      <c r="AM11" s="7" cm="1">
        <f t="array" aca="1" ref="AM11" ca="1">IFERROR(_xlfn.IFS(HLOOKUP(AG11,FriHostTable,2)=0,0,OR(AH11="Server",AH11="Bartender"),-AF11*HostTipPercentage,AH11="Host",HLOOKUP(AG11,FriHostTable,5)*AB11,OR(AH11="Expo",AH11="Food Runner"),0),"")</f>
        <v>-15.69</v>
      </c>
      <c r="AN11" s="4"/>
      <c r="AO11" s="5"/>
      <c r="AP11" s="4"/>
      <c r="AQ11" s="4"/>
      <c r="AR11" s="4"/>
      <c r="AS11" s="36">
        <f t="shared" si="24"/>
        <v>0</v>
      </c>
      <c r="AT11" s="4"/>
      <c r="AU11" s="4"/>
      <c r="AV11" s="36">
        <f t="shared" ref="AV11" si="109">IF(AU11="Bartender",(HLOOKUP(AT11,SunFoodTable,6)*AO11)+(HLOOKUP(AT11,SunHostTable,6)*AO11)+AX11,SUM(AX11,AY11,AZ11))</f>
        <v>0</v>
      </c>
      <c r="AW11" s="36">
        <f t="shared" ref="AW11" si="110">IFERROR(IF(AU11="Bartender",(HLOOKUP(AT11,SunBarTable,6)*AO11)+AV11,AP11+AV11),"")</f>
        <v>0</v>
      </c>
      <c r="AX11" s="7">
        <f t="shared" ref="AX11" si="111">IF(AU11="Server",-AR11*AlcoholTipPercentage,0)+IF(AU11="Bartender",HLOOKUP(AT11,SunBarTable,5)*AO11)</f>
        <v>0</v>
      </c>
      <c r="AY11" s="7" t="str" cm="1">
        <f t="array" ref="AY11">IFERROR(_xlfn.IFS(HLOOKUP(AT11,SunFoodTable,2)=0,0,OR(AU11="Server",AU11="Bartender"),-AQ11*FoodTipPercentage,OR(AU11="Expo",AU11="Food Runner"),HLOOKUP(AT11,SunFoodTable,5)*AO11,AU11="Host",0),"")</f>
        <v/>
      </c>
      <c r="AZ11" s="7" t="str" cm="1">
        <f t="array" ref="AZ11">IFERROR(_xlfn.IFS(HLOOKUP(AT11,SunHostTable,2)=0,0,OR(AU11="Server",AU11="Bartender"),-AS11*HostTipPercentage,AU11="Host",HLOOKUP(AT11,SunHostTable,5)*AO11,OR(AU11="Expo",AU11="Food Runner"),0),"")</f>
        <v/>
      </c>
    </row>
    <row r="12" spans="1:60" x14ac:dyDescent="0.2">
      <c r="A12" s="9"/>
      <c r="B12" s="10"/>
      <c r="C12" s="9"/>
      <c r="D12" s="9"/>
      <c r="E12" s="9"/>
      <c r="F12" s="1">
        <f t="shared" si="12"/>
        <v>0</v>
      </c>
      <c r="G12" s="9"/>
      <c r="H12" s="9"/>
      <c r="I12" s="1">
        <f t="shared" ref="I12" si="112">IF(H12="Bartender",(HLOOKUP(G12,MonFoodTable,6)*B12)+(HLOOKUP(G12,MonHostTable,6)*B12)+K12,SUM(K12,L12,M12))</f>
        <v>0</v>
      </c>
      <c r="J12" s="1">
        <f t="shared" ref="J12" si="113">IFERROR(IF(H12="Bartender",(HLOOKUP(G12,MonBarTable,6)*B12)+I12,C12+I12),"")</f>
        <v>0</v>
      </c>
      <c r="K12" s="7">
        <f t="shared" ref="K12" si="114">IF(H12="Server",-E12*AlcoholTipPercentage,0)+IF(H12="Bartender",HLOOKUP(G12,MonBarTable,5)*B12)</f>
        <v>0</v>
      </c>
      <c r="L12" s="7" t="str" cm="1">
        <f t="array" ref="L12">IFERROR(_xlfn.IFS(HLOOKUP(G12,MonFoodTable,2)=0,0,OR(H12="Server",H12="Bartender"),-D12*FoodTipPercentage,OR(H12="Expo",H12="Food Runner"),HLOOKUP(G12,MonFoodTable,5)*B12,H12="Host",0),"")</f>
        <v/>
      </c>
      <c r="M12" s="7" t="str" cm="1">
        <f t="array" ref="M12">IFERROR(_xlfn.IFS(HLOOKUP(G12,MonHostTable,2)=0,0,OR(H12="Server",H12="Bartender"),-F12*HostTipPercentage,H12="Host",HLOOKUP(G12,MonHostTable,5)*B12,OR(H12="Expo",H12="Food Runner"),0),"")</f>
        <v/>
      </c>
      <c r="N12" s="4" t="s">
        <v>64</v>
      </c>
      <c r="O12" s="5">
        <v>6</v>
      </c>
      <c r="P12" s="4"/>
      <c r="Q12" s="4"/>
      <c r="R12" s="4"/>
      <c r="S12" s="3">
        <f t="shared" si="16"/>
        <v>0</v>
      </c>
      <c r="T12" s="4" t="s">
        <v>20</v>
      </c>
      <c r="U12" s="4" t="s">
        <v>30</v>
      </c>
      <c r="V12" s="3">
        <f t="shared" ref="V12" ca="1" si="115">IF(U12="Bartender",(HLOOKUP(T12,WedFoodTable,6)*O12)+(HLOOKUP(T12,WedHostTable,6)*O12)+X12,SUM(X12,Y12,Z12))</f>
        <v>61.490000000000009</v>
      </c>
      <c r="W12" s="3">
        <f t="shared" ref="W12" ca="1" si="116">IFERROR(IF(U12="Bartender",(HLOOKUP(T12,WedBarTable,6)*O12)+V12,P12+V12),"")</f>
        <v>61.490000000000009</v>
      </c>
      <c r="X12" s="7">
        <f t="shared" ref="X12" si="117">IF(U12="Server",-R12*AlcoholTipPercentage,0)+IF(U12="Bartender",HLOOKUP(T12,WedBarTable,5)*O12)</f>
        <v>0</v>
      </c>
      <c r="Y12" s="7" cm="1">
        <f t="array" aca="1" ref="Y12" ca="1">IFERROR(_xlfn.IFS(HLOOKUP(T12,WedFoodTable,2)=0,0,OR(U12="Server",U12="Bartender"),-Q12*FoodTipPercentage,OR(U12="Expo",U12="Food Runner"),HLOOKUP(T12,WedFoodTable,5)*O12,U12="Host",0),"")</f>
        <v>0</v>
      </c>
      <c r="Z12" s="7" cm="1">
        <f t="array" aca="1" ref="Z12" ca="1">IFERROR(_xlfn.IFS(HLOOKUP(T12,WedHostTable,2)=0,0,OR(U12="Server",U12="Bartender"),-S12*HostTipPercentage,U12="Host",HLOOKUP(T12,WedHostTable,5)*O12,OR(U12="Expo",U12="Food Runner"),0),"")</f>
        <v>61.490000000000009</v>
      </c>
      <c r="AA12" s="11" t="s">
        <v>63</v>
      </c>
      <c r="AB12" s="12">
        <v>4</v>
      </c>
      <c r="AC12" s="11">
        <v>198</v>
      </c>
      <c r="AD12" s="11">
        <v>794</v>
      </c>
      <c r="AE12" s="11">
        <v>310</v>
      </c>
      <c r="AF12" s="37">
        <f t="shared" si="20"/>
        <v>1104</v>
      </c>
      <c r="AG12" s="11" t="s">
        <v>20</v>
      </c>
      <c r="AH12" s="11" t="s">
        <v>18</v>
      </c>
      <c r="AI12" s="37">
        <f t="shared" ref="AI12" ca="1" si="118">IF(AH12="Bartender",(HLOOKUP(AG12,FriFoodTable,6)*AB12)+(HLOOKUP(AG12,FriHostTable,6)*AB12)+AK12,SUM(AK12,AL12,AM12))</f>
        <v>-36.22</v>
      </c>
      <c r="AJ12" s="37">
        <f t="shared" ref="AJ12" ca="1" si="119">IFERROR(IF(AH12="Bartender",(HLOOKUP(AG12,FriBarTable,6)*AB12)+AI12,AC12+AI12),"")</f>
        <v>161.78</v>
      </c>
      <c r="AK12" s="7">
        <f t="shared" ref="AK12" si="120">IF(AH12="Server",-AE12*AlcoholTipPercentage,0)+IF(AH12="Bartender",HLOOKUP(AG12,FriBarTable,5)*AB12)</f>
        <v>-9.2999999999999989</v>
      </c>
      <c r="AL12" s="7" cm="1">
        <f t="array" aca="1" ref="AL12" ca="1">IFERROR(_xlfn.IFS(HLOOKUP(AG12,FriFoodTable,2)=0,0,OR(AH12="Server",AH12="Bartender"),-AD12*FoodTipPercentage,OR(AH12="Expo",AH12="Food Runner"),HLOOKUP(AG12,FriFoodTable,5)*AB12,AH12="Host",0),"")</f>
        <v>-15.88</v>
      </c>
      <c r="AM12" s="7" cm="1">
        <f t="array" aca="1" ref="AM12" ca="1">IFERROR(_xlfn.IFS(HLOOKUP(AG12,FriHostTable,2)=0,0,OR(AH12="Server",AH12="Bartender"),-AF12*HostTipPercentage,AH12="Host",HLOOKUP(AG12,FriHostTable,5)*AB12,OR(AH12="Expo",AH12="Food Runner"),0),"")</f>
        <v>-11.040000000000001</v>
      </c>
      <c r="AN12" s="4"/>
      <c r="AO12" s="5"/>
      <c r="AP12" s="4"/>
      <c r="AQ12" s="4"/>
      <c r="AR12" s="4"/>
      <c r="AS12" s="36">
        <f t="shared" si="24"/>
        <v>0</v>
      </c>
      <c r="AT12" s="4"/>
      <c r="AU12" s="4"/>
      <c r="AV12" s="36">
        <f t="shared" ref="AV12" si="121">IF(AU12="Bartender",(HLOOKUP(AT12,SunFoodTable,6)*AO12)+(HLOOKUP(AT12,SunHostTable,6)*AO12)+AX12,SUM(AX12,AY12,AZ12))</f>
        <v>0</v>
      </c>
      <c r="AW12" s="36">
        <f t="shared" ref="AW12" si="122">IFERROR(IF(AU12="Bartender",(HLOOKUP(AT12,SunBarTable,6)*AO12)+AV12,AP12+AV12),"")</f>
        <v>0</v>
      </c>
      <c r="AX12" s="7">
        <f t="shared" ref="AX12" si="123">IF(AU12="Server",-AR12*AlcoholTipPercentage,0)+IF(AU12="Bartender",HLOOKUP(AT12,SunBarTable,5)*AO12)</f>
        <v>0</v>
      </c>
      <c r="AY12" s="7" t="str" cm="1">
        <f t="array" ref="AY12">IFERROR(_xlfn.IFS(HLOOKUP(AT12,SunFoodTable,2)=0,0,OR(AU12="Server",AU12="Bartender"),-AQ12*FoodTipPercentage,OR(AU12="Expo",AU12="Food Runner"),HLOOKUP(AT12,SunFoodTable,5)*AO12,AU12="Host",0),"")</f>
        <v/>
      </c>
      <c r="AZ12" s="7" t="str" cm="1">
        <f t="array" ref="AZ12">IFERROR(_xlfn.IFS(HLOOKUP(AT12,SunHostTable,2)=0,0,OR(AU12="Server",AU12="Bartender"),-AS12*HostTipPercentage,AU12="Host",HLOOKUP(AT12,SunHostTable,5)*AO12,OR(AU12="Expo",AU12="Food Runner"),0),"")</f>
        <v/>
      </c>
    </row>
    <row r="13" spans="1:60" x14ac:dyDescent="0.2">
      <c r="A13" s="9"/>
      <c r="B13" s="10"/>
      <c r="C13" s="9"/>
      <c r="D13" s="9"/>
      <c r="E13" s="9"/>
      <c r="F13" s="1">
        <f t="shared" si="12"/>
        <v>0</v>
      </c>
      <c r="G13" s="9"/>
      <c r="H13" s="9"/>
      <c r="I13" s="1">
        <f t="shared" ref="I13" si="124">IF(H13="Bartender",(HLOOKUP(G13,MonFoodTable,6)*B13)+(HLOOKUP(G13,MonHostTable,6)*B13)+K13,SUM(K13,L13,M13))</f>
        <v>0</v>
      </c>
      <c r="J13" s="1">
        <f t="shared" ref="J13" si="125">IFERROR(IF(H13="Bartender",(HLOOKUP(G13,MonBarTable,6)*B13)+I13,C13+I13),"")</f>
        <v>0</v>
      </c>
      <c r="K13" s="7">
        <f t="shared" ref="K13" si="126">IF(H13="Server",-E13*AlcoholTipPercentage,0)+IF(H13="Bartender",HLOOKUP(G13,MonBarTable,5)*B13)</f>
        <v>0</v>
      </c>
      <c r="L13" s="7" t="str" cm="1">
        <f t="array" ref="L13">IFERROR(_xlfn.IFS(HLOOKUP(G13,MonFoodTable,2)=0,0,OR(H13="Server",H13="Bartender"),-D13*FoodTipPercentage,OR(H13="Expo",H13="Food Runner"),HLOOKUP(G13,MonFoodTable,5)*B13,H13="Host",0),"")</f>
        <v/>
      </c>
      <c r="M13" s="7" t="str" cm="1">
        <f t="array" ref="M13">IFERROR(_xlfn.IFS(HLOOKUP(G13,MonHostTable,2)=0,0,OR(H13="Server",H13="Bartender"),-F13*HostTipPercentage,H13="Host",HLOOKUP(G13,MonHostTable,5)*B13,OR(H13="Expo",H13="Food Runner"),0),"")</f>
        <v/>
      </c>
      <c r="N13" s="4" t="s">
        <v>65</v>
      </c>
      <c r="O13" s="5">
        <v>4</v>
      </c>
      <c r="P13" s="4"/>
      <c r="Q13" s="4"/>
      <c r="R13" s="4"/>
      <c r="S13" s="3">
        <f t="shared" si="16"/>
        <v>0</v>
      </c>
      <c r="T13" s="4" t="s">
        <v>20</v>
      </c>
      <c r="U13" s="4" t="s">
        <v>33</v>
      </c>
      <c r="V13" s="3">
        <f t="shared" ref="V13" ca="1" si="127">IF(U13="Bartender",(HLOOKUP(T13,WedFoodTable,6)*O13)+(HLOOKUP(T13,WedHostTable,6)*O13)+X13,SUM(X13,Y13,Z13))</f>
        <v>54.94</v>
      </c>
      <c r="W13" s="3">
        <f t="shared" ref="W13" ca="1" si="128">IFERROR(IF(U13="Bartender",(HLOOKUP(T13,WedBarTable,6)*O13)+V13,P13+V13),"")</f>
        <v>54.94</v>
      </c>
      <c r="X13" s="7">
        <f t="shared" ref="X13" si="129">IF(U13="Server",-R13*AlcoholTipPercentage,0)+IF(U13="Bartender",HLOOKUP(T13,WedBarTable,5)*O13)</f>
        <v>0</v>
      </c>
      <c r="Y13" s="7" cm="1">
        <f t="array" aca="1" ref="Y13" ca="1">IFERROR(_xlfn.IFS(HLOOKUP(T13,WedFoodTable,2)=0,0,OR(U13="Server",U13="Bartender"),-Q13*FoodTipPercentage,OR(U13="Expo",U13="Food Runner"),HLOOKUP(T13,WedFoodTable,5)*O13,U13="Host",0),"")</f>
        <v>54.94</v>
      </c>
      <c r="Z13" s="7" cm="1">
        <f t="array" aca="1" ref="Z13" ca="1">IFERROR(_xlfn.IFS(HLOOKUP(T13,WedHostTable,2)=0,0,OR(U13="Server",U13="Bartender"),-S13*HostTipPercentage,U13="Host",HLOOKUP(T13,WedHostTable,5)*O13,OR(U13="Expo",U13="Food Runner"),0),"")</f>
        <v>0</v>
      </c>
      <c r="AA13" s="11" t="s">
        <v>62</v>
      </c>
      <c r="AB13" s="12">
        <v>6</v>
      </c>
      <c r="AC13" s="11"/>
      <c r="AD13" s="11"/>
      <c r="AE13" s="11"/>
      <c r="AF13" s="37">
        <f t="shared" si="20"/>
        <v>0</v>
      </c>
      <c r="AG13" s="11" t="s">
        <v>20</v>
      </c>
      <c r="AH13" s="11" t="s">
        <v>30</v>
      </c>
      <c r="AI13" s="37">
        <f t="shared" ref="AI13" ca="1" si="130">IF(AH13="Bartender",(HLOOKUP(AG13,FriFoodTable,6)*AB13)+(HLOOKUP(AG13,FriHostTable,6)*AB13)+AK13,SUM(AK13,AL13,AM13))</f>
        <v>48.05</v>
      </c>
      <c r="AJ13" s="37">
        <f t="shared" ref="AJ13" ca="1" si="131">IFERROR(IF(AH13="Bartender",(HLOOKUP(AG13,FriBarTable,6)*AB13)+AI13,AC13+AI13),"")</f>
        <v>48.05</v>
      </c>
      <c r="AK13" s="7">
        <f t="shared" ref="AK13" si="132">IF(AH13="Server",-AE13*AlcoholTipPercentage,0)+IF(AH13="Bartender",HLOOKUP(AG13,FriBarTable,5)*AB13)</f>
        <v>0</v>
      </c>
      <c r="AL13" s="7" cm="1">
        <f t="array" aca="1" ref="AL13" ca="1">IFERROR(_xlfn.IFS(HLOOKUP(AG13,FriFoodTable,2)=0,0,OR(AH13="Server",AH13="Bartender"),-AD13*FoodTipPercentage,OR(AH13="Expo",AH13="Food Runner"),HLOOKUP(AG13,FriFoodTable,5)*AB13,AH13="Host",0),"")</f>
        <v>0</v>
      </c>
      <c r="AM13" s="7" cm="1">
        <f t="array" aca="1" ref="AM13" ca="1">IFERROR(_xlfn.IFS(HLOOKUP(AG13,FriHostTable,2)=0,0,OR(AH13="Server",AH13="Bartender"),-AF13*HostTipPercentage,AH13="Host",HLOOKUP(AG13,FriHostTable,5)*AB13,OR(AH13="Expo",AH13="Food Runner"),0),"")</f>
        <v>48.05</v>
      </c>
      <c r="AN13" s="4"/>
      <c r="AO13" s="5"/>
      <c r="AP13" s="4"/>
      <c r="AQ13" s="4"/>
      <c r="AR13" s="4"/>
      <c r="AS13" s="36">
        <f t="shared" si="24"/>
        <v>0</v>
      </c>
      <c r="AT13" s="4"/>
      <c r="AU13" s="4"/>
      <c r="AV13" s="36">
        <f t="shared" ref="AV13" si="133">IF(AU13="Bartender",(HLOOKUP(AT13,SunFoodTable,6)*AO13)+(HLOOKUP(AT13,SunHostTable,6)*AO13)+AX13,SUM(AX13,AY13,AZ13))</f>
        <v>0</v>
      </c>
      <c r="AW13" s="36">
        <f t="shared" ref="AW13" si="134">IFERROR(IF(AU13="Bartender",(HLOOKUP(AT13,SunBarTable,6)*AO13)+AV13,AP13+AV13),"")</f>
        <v>0</v>
      </c>
      <c r="AX13" s="7">
        <f t="shared" ref="AX13" si="135">IF(AU13="Server",-AR13*AlcoholTipPercentage,0)+IF(AU13="Bartender",HLOOKUP(AT13,SunBarTable,5)*AO13)</f>
        <v>0</v>
      </c>
      <c r="AY13" s="7" t="str" cm="1">
        <f t="array" ref="AY13">IFERROR(_xlfn.IFS(HLOOKUP(AT13,SunFoodTable,2)=0,0,OR(AU13="Server",AU13="Bartender"),-AQ13*FoodTipPercentage,OR(AU13="Expo",AU13="Food Runner"),HLOOKUP(AT13,SunFoodTable,5)*AO13,AU13="Host",0),"")</f>
        <v/>
      </c>
      <c r="AZ13" s="7" t="str" cm="1">
        <f t="array" ref="AZ13">IFERROR(_xlfn.IFS(HLOOKUP(AT13,SunHostTable,2)=0,0,OR(AU13="Server",AU13="Bartender"),-AS13*HostTipPercentage,AU13="Host",HLOOKUP(AT13,SunHostTable,5)*AO13,OR(AU13="Expo",AU13="Food Runner"),0),"")</f>
        <v/>
      </c>
    </row>
    <row r="14" spans="1:60" x14ac:dyDescent="0.2">
      <c r="A14" s="9"/>
      <c r="B14" s="10"/>
      <c r="C14" s="9"/>
      <c r="D14" s="9"/>
      <c r="E14" s="9"/>
      <c r="F14" s="1">
        <f t="shared" si="12"/>
        <v>0</v>
      </c>
      <c r="G14" s="9"/>
      <c r="H14" s="9"/>
      <c r="I14" s="1">
        <f t="shared" ref="I14" si="136">IF(H14="Bartender",(HLOOKUP(G14,MonFoodTable,6)*B14)+(HLOOKUP(G14,MonHostTable,6)*B14)+K14,SUM(K14,L14,M14))</f>
        <v>0</v>
      </c>
      <c r="J14" s="1">
        <f t="shared" ref="J14" si="137">IFERROR(IF(H14="Bartender",(HLOOKUP(G14,MonBarTable,6)*B14)+I14,C14+I14),"")</f>
        <v>0</v>
      </c>
      <c r="K14" s="7">
        <f t="shared" ref="K14" si="138">IF(H14="Server",-E14*AlcoholTipPercentage,0)+IF(H14="Bartender",HLOOKUP(G14,MonBarTable,5)*B14)</f>
        <v>0</v>
      </c>
      <c r="L14" s="7" t="str" cm="1">
        <f t="array" ref="L14">IFERROR(_xlfn.IFS(HLOOKUP(G14,MonFoodTable,2)=0,0,OR(H14="Server",H14="Bartender"),-D14*FoodTipPercentage,OR(H14="Expo",H14="Food Runner"),HLOOKUP(G14,MonFoodTable,5)*B14,H14="Host",0),"")</f>
        <v/>
      </c>
      <c r="M14" s="7" t="str" cm="1">
        <f t="array" ref="M14">IFERROR(_xlfn.IFS(HLOOKUP(G14,MonHostTable,2)=0,0,OR(H14="Server",H14="Bartender"),-F14*HostTipPercentage,H14="Host",HLOOKUP(G14,MonHostTable,5)*B14,OR(H14="Expo",H14="Food Runner"),0),"")</f>
        <v/>
      </c>
      <c r="N14" s="4"/>
      <c r="O14" s="5"/>
      <c r="P14" s="4"/>
      <c r="Q14" s="4"/>
      <c r="R14" s="4"/>
      <c r="S14" s="3">
        <f t="shared" si="16"/>
        <v>0</v>
      </c>
      <c r="T14" s="4"/>
      <c r="U14" s="4"/>
      <c r="V14" s="3">
        <f t="shared" ref="V14" si="139">IF(U14="Bartender",(HLOOKUP(T14,WedFoodTable,6)*O14)+(HLOOKUP(T14,WedHostTable,6)*O14)+X14,SUM(X14,Y14,Z14))</f>
        <v>0</v>
      </c>
      <c r="W14" s="3">
        <f t="shared" ref="W14" si="140">IFERROR(IF(U14="Bartender",(HLOOKUP(T14,WedBarTable,6)*O14)+V14,P14+V14),"")</f>
        <v>0</v>
      </c>
      <c r="X14" s="7">
        <f t="shared" ref="X14" si="141">IF(U14="Server",-R14*AlcoholTipPercentage,0)+IF(U14="Bartender",HLOOKUP(T14,WedBarTable,5)*O14)</f>
        <v>0</v>
      </c>
      <c r="Y14" s="7" t="str" cm="1">
        <f t="array" ref="Y14">IFERROR(_xlfn.IFS(HLOOKUP(T14,WedFoodTable,2)=0,0,OR(U14="Server",U14="Bartender"),-Q14*FoodTipPercentage,OR(U14="Expo",U14="Food Runner"),HLOOKUP(T14,WedFoodTable,5)*O14,U14="Host",0),"")</f>
        <v/>
      </c>
      <c r="Z14" s="7" t="str" cm="1">
        <f t="array" ref="Z14">IFERROR(_xlfn.IFS(HLOOKUP(T14,WedHostTable,2)=0,0,OR(U14="Server",U14="Bartender"),-S14*HostTipPercentage,U14="Host",HLOOKUP(T14,WedHostTable,5)*O14,OR(U14="Expo",U14="Food Runner"),0),"")</f>
        <v/>
      </c>
      <c r="AA14" s="11" t="s">
        <v>56</v>
      </c>
      <c r="AB14" s="12">
        <v>6</v>
      </c>
      <c r="AC14" s="11"/>
      <c r="AD14" s="11"/>
      <c r="AE14" s="11"/>
      <c r="AF14" s="37">
        <f t="shared" si="20"/>
        <v>0</v>
      </c>
      <c r="AG14" s="11" t="s">
        <v>20</v>
      </c>
      <c r="AH14" s="11" t="s">
        <v>26</v>
      </c>
      <c r="AI14" s="37">
        <f t="shared" ref="AI14" ca="1" si="142">IF(AH14="Bartender",(HLOOKUP(AG14,FriFoodTable,6)*AB14)+(HLOOKUP(AG14,FriHostTable,6)*AB14)+AK14,SUM(AK14,AL14,AM14))</f>
        <v>56.5</v>
      </c>
      <c r="AJ14" s="37">
        <f t="shared" ref="AJ14" ca="1" si="143">IFERROR(IF(AH14="Bartender",(HLOOKUP(AG14,FriBarTable,6)*AB14)+AI14,AC14+AI14),"")</f>
        <v>56.5</v>
      </c>
      <c r="AK14" s="7">
        <f t="shared" ref="AK14" si="144">IF(AH14="Server",-AE14*AlcoholTipPercentage,0)+IF(AH14="Bartender",HLOOKUP(AG14,FriBarTable,5)*AB14)</f>
        <v>0</v>
      </c>
      <c r="AL14" s="7" cm="1">
        <f t="array" aca="1" ref="AL14" ca="1">IFERROR(_xlfn.IFS(HLOOKUP(AG14,FriFoodTable,2)=0,0,OR(AH14="Server",AH14="Bartender"),-AD14*FoodTipPercentage,OR(AH14="Expo",AH14="Food Runner"),HLOOKUP(AG14,FriFoodTable,5)*AB14,AH14="Host",0),"")</f>
        <v>56.5</v>
      </c>
      <c r="AM14" s="7" cm="1">
        <f t="array" aca="1" ref="AM14" ca="1">IFERROR(_xlfn.IFS(HLOOKUP(AG14,FriHostTable,2)=0,0,OR(AH14="Server",AH14="Bartender"),-AF14*HostTipPercentage,AH14="Host",HLOOKUP(AG14,FriHostTable,5)*AB14,OR(AH14="Expo",AH14="Food Runner"),0),"")</f>
        <v>0</v>
      </c>
      <c r="AN14" s="4"/>
      <c r="AO14" s="5"/>
      <c r="AP14" s="4"/>
      <c r="AQ14" s="4"/>
      <c r="AR14" s="4"/>
      <c r="AS14" s="36">
        <f t="shared" si="24"/>
        <v>0</v>
      </c>
      <c r="AT14" s="4"/>
      <c r="AU14" s="4"/>
      <c r="AV14" s="36">
        <f t="shared" ref="AV14" si="145">IF(AU14="Bartender",(HLOOKUP(AT14,SunFoodTable,6)*AO14)+(HLOOKUP(AT14,SunHostTable,6)*AO14)+AX14,SUM(AX14,AY14,AZ14))</f>
        <v>0</v>
      </c>
      <c r="AW14" s="36">
        <f t="shared" ref="AW14" si="146">IFERROR(IF(AU14="Bartender",(HLOOKUP(AT14,SunBarTable,6)*AO14)+AV14,AP14+AV14),"")</f>
        <v>0</v>
      </c>
      <c r="AX14" s="7">
        <f t="shared" ref="AX14" si="147">IF(AU14="Server",-AR14*AlcoholTipPercentage,0)+IF(AU14="Bartender",HLOOKUP(AT14,SunBarTable,5)*AO14)</f>
        <v>0</v>
      </c>
      <c r="AY14" s="7" t="str" cm="1">
        <f t="array" ref="AY14">IFERROR(_xlfn.IFS(HLOOKUP(AT14,SunFoodTable,2)=0,0,OR(AU14="Server",AU14="Bartender"),-AQ14*FoodTipPercentage,OR(AU14="Expo",AU14="Food Runner"),HLOOKUP(AT14,SunFoodTable,5)*AO14,AU14="Host",0),"")</f>
        <v/>
      </c>
      <c r="AZ14" s="7" t="str" cm="1">
        <f t="array" ref="AZ14">IFERROR(_xlfn.IFS(HLOOKUP(AT14,SunHostTable,2)=0,0,OR(AU14="Server",AU14="Bartender"),-AS14*HostTipPercentage,AU14="Host",HLOOKUP(AT14,SunHostTable,5)*AO14,OR(AU14="Expo",AU14="Food Runner"),0),"")</f>
        <v/>
      </c>
    </row>
    <row r="15" spans="1:60" x14ac:dyDescent="0.2">
      <c r="A15" s="9"/>
      <c r="B15" s="10"/>
      <c r="C15" s="9"/>
      <c r="D15" s="9"/>
      <c r="E15" s="9"/>
      <c r="F15" s="1">
        <f t="shared" si="12"/>
        <v>0</v>
      </c>
      <c r="G15" s="9"/>
      <c r="H15" s="9"/>
      <c r="I15" s="1">
        <f t="shared" ref="I15" si="148">IF(H15="Bartender",(HLOOKUP(G15,MonFoodTable,6)*B15)+(HLOOKUP(G15,MonHostTable,6)*B15)+K15,SUM(K15,L15,M15))</f>
        <v>0</v>
      </c>
      <c r="J15" s="1">
        <f t="shared" ref="J15" si="149">IFERROR(IF(H15="Bartender",(HLOOKUP(G15,MonBarTable,6)*B15)+I15,C15+I15),"")</f>
        <v>0</v>
      </c>
      <c r="K15" s="7">
        <f t="shared" ref="K15" si="150">IF(H15="Server",-E15*AlcoholTipPercentage,0)+IF(H15="Bartender",HLOOKUP(G15,MonBarTable,5)*B15)</f>
        <v>0</v>
      </c>
      <c r="L15" s="7" t="str" cm="1">
        <f t="array" ref="L15">IFERROR(_xlfn.IFS(HLOOKUP(G15,MonFoodTable,2)=0,0,OR(H15="Server",H15="Bartender"),-D15*FoodTipPercentage,OR(H15="Expo",H15="Food Runner"),HLOOKUP(G15,MonFoodTable,5)*B15,H15="Host",0),"")</f>
        <v/>
      </c>
      <c r="M15" s="7" t="str" cm="1">
        <f t="array" ref="M15">IFERROR(_xlfn.IFS(HLOOKUP(G15,MonHostTable,2)=0,0,OR(H15="Server",H15="Bartender"),-F15*HostTipPercentage,H15="Host",HLOOKUP(G15,MonHostTable,5)*B15,OR(H15="Expo",H15="Food Runner"),0),"")</f>
        <v/>
      </c>
      <c r="N15" s="4"/>
      <c r="O15" s="5"/>
      <c r="P15" s="4"/>
      <c r="Q15" s="4"/>
      <c r="R15" s="4"/>
      <c r="S15" s="3">
        <f t="shared" si="16"/>
        <v>0</v>
      </c>
      <c r="T15" s="4"/>
      <c r="U15" s="4"/>
      <c r="V15" s="3">
        <f t="shared" ref="V15" si="151">IF(U15="Bartender",(HLOOKUP(T15,WedFoodTable,6)*O15)+(HLOOKUP(T15,WedHostTable,6)*O15)+X15,SUM(X15,Y15,Z15))</f>
        <v>0</v>
      </c>
      <c r="W15" s="3">
        <f t="shared" ref="W15" si="152">IFERROR(IF(U15="Bartender",(HLOOKUP(T15,WedBarTable,6)*O15)+V15,P15+V15),"")</f>
        <v>0</v>
      </c>
      <c r="X15" s="7">
        <f t="shared" ref="X15" si="153">IF(U15="Server",-R15*AlcoholTipPercentage,0)+IF(U15="Bartender",HLOOKUP(T15,WedBarTable,5)*O15)</f>
        <v>0</v>
      </c>
      <c r="Y15" s="7" t="str" cm="1">
        <f t="array" ref="Y15">IFERROR(_xlfn.IFS(HLOOKUP(T15,WedFoodTable,2)=0,0,OR(U15="Server",U15="Bartender"),-Q15*FoodTipPercentage,OR(U15="Expo",U15="Food Runner"),HLOOKUP(T15,WedFoodTable,5)*O15,U15="Host",0),"")</f>
        <v/>
      </c>
      <c r="Z15" s="7" t="str" cm="1">
        <f t="array" ref="Z15">IFERROR(_xlfn.IFS(HLOOKUP(T15,WedHostTable,2)=0,0,OR(U15="Server",U15="Bartender"),-S15*HostTipPercentage,U15="Host",HLOOKUP(T15,WedHostTable,5)*O15,OR(U15="Expo",U15="Food Runner"),0),"")</f>
        <v/>
      </c>
      <c r="AA15" s="11"/>
      <c r="AB15" s="12"/>
      <c r="AC15" s="11"/>
      <c r="AD15" s="11"/>
      <c r="AE15" s="11"/>
      <c r="AF15" s="37">
        <f t="shared" si="20"/>
        <v>0</v>
      </c>
      <c r="AG15" s="11"/>
      <c r="AH15" s="11"/>
      <c r="AI15" s="37">
        <f t="shared" ref="AI15" si="154">IF(AH15="Bartender",(HLOOKUP(AG15,FriFoodTable,6)*AB15)+(HLOOKUP(AG15,FriHostTable,6)*AB15)+AK15,SUM(AK15,AL15,AM15))</f>
        <v>0</v>
      </c>
      <c r="AJ15" s="37">
        <f t="shared" ref="AJ15" si="155">IFERROR(IF(AH15="Bartender",(HLOOKUP(AG15,FriBarTable,6)*AB15)+AI15,AC15+AI15),"")</f>
        <v>0</v>
      </c>
      <c r="AK15" s="7">
        <f t="shared" ref="AK15" si="156">IF(AH15="Server",-AE15*AlcoholTipPercentage,0)+IF(AH15="Bartender",HLOOKUP(AG15,FriBarTable,5)*AB15)</f>
        <v>0</v>
      </c>
      <c r="AL15" s="7" t="str" cm="1">
        <f t="array" ref="AL15">IFERROR(_xlfn.IFS(HLOOKUP(AG15,FriFoodTable,2)=0,0,OR(AH15="Server",AH15="Bartender"),-AD15*FoodTipPercentage,OR(AH15="Expo",AH15="Food Runner"),HLOOKUP(AG15,FriFoodTable,5)*AB15,AH15="Host",0),"")</f>
        <v/>
      </c>
      <c r="AM15" s="7" t="str" cm="1">
        <f t="array" ref="AM15">IFERROR(_xlfn.IFS(HLOOKUP(AG15,FriHostTable,2)=0,0,OR(AH15="Server",AH15="Bartender"),-AF15*HostTipPercentage,AH15="Host",HLOOKUP(AG15,FriHostTable,5)*AB15,OR(AH15="Expo",AH15="Food Runner"),0),"")</f>
        <v/>
      </c>
      <c r="AN15" s="4"/>
      <c r="AO15" s="5"/>
      <c r="AP15" s="4"/>
      <c r="AQ15" s="4"/>
      <c r="AR15" s="4"/>
      <c r="AS15" s="36">
        <f t="shared" si="24"/>
        <v>0</v>
      </c>
      <c r="AT15" s="4"/>
      <c r="AU15" s="4"/>
      <c r="AV15" s="36">
        <f t="shared" ref="AV15" si="157">IF(AU15="Bartender",(HLOOKUP(AT15,SunFoodTable,6)*AO15)+(HLOOKUP(AT15,SunHostTable,6)*AO15)+AX15,SUM(AX15,AY15,AZ15))</f>
        <v>0</v>
      </c>
      <c r="AW15" s="36">
        <f t="shared" ref="AW15" si="158">IFERROR(IF(AU15="Bartender",(HLOOKUP(AT15,SunBarTable,6)*AO15)+AV15,AP15+AV15),"")</f>
        <v>0</v>
      </c>
      <c r="AX15" s="7">
        <f t="shared" ref="AX15" si="159">IF(AU15="Server",-AR15*AlcoholTipPercentage,0)+IF(AU15="Bartender",HLOOKUP(AT15,SunBarTable,5)*AO15)</f>
        <v>0</v>
      </c>
      <c r="AY15" s="7" t="str" cm="1">
        <f t="array" ref="AY15">IFERROR(_xlfn.IFS(HLOOKUP(AT15,SunFoodTable,2)=0,0,OR(AU15="Server",AU15="Bartender"),-AQ15*FoodTipPercentage,OR(AU15="Expo",AU15="Food Runner"),HLOOKUP(AT15,SunFoodTable,5)*AO15,AU15="Host",0),"")</f>
        <v/>
      </c>
      <c r="AZ15" s="7" t="str" cm="1">
        <f t="array" ref="AZ15">IFERROR(_xlfn.IFS(HLOOKUP(AT15,SunHostTable,2)=0,0,OR(AU15="Server",AU15="Bartender"),-AS15*HostTipPercentage,AU15="Host",HLOOKUP(AT15,SunHostTable,5)*AO15,OR(AU15="Expo",AU15="Food Runner"),0),"")</f>
        <v/>
      </c>
    </row>
    <row r="16" spans="1:60" x14ac:dyDescent="0.2">
      <c r="A16" s="9"/>
      <c r="B16" s="10"/>
      <c r="C16" s="9"/>
      <c r="D16" s="9"/>
      <c r="E16" s="9"/>
      <c r="F16" s="1">
        <f t="shared" si="12"/>
        <v>0</v>
      </c>
      <c r="G16" s="9"/>
      <c r="H16" s="9"/>
      <c r="I16" s="1">
        <f t="shared" ref="I16" si="160">IF(H16="Bartender",(HLOOKUP(G16,MonFoodTable,6)*B16)+(HLOOKUP(G16,MonHostTable,6)*B16)+K16,SUM(K16,L16,M16))</f>
        <v>0</v>
      </c>
      <c r="J16" s="1">
        <f t="shared" ref="J16" si="161">IFERROR(IF(H16="Bartender",(HLOOKUP(G16,MonBarTable,6)*B16)+I16,C16+I16),"")</f>
        <v>0</v>
      </c>
      <c r="K16" s="7">
        <f t="shared" ref="K16" si="162">IF(H16="Server",-E16*AlcoholTipPercentage,0)+IF(H16="Bartender",HLOOKUP(G16,MonBarTable,5)*B16)</f>
        <v>0</v>
      </c>
      <c r="L16" s="7" t="str" cm="1">
        <f t="array" ref="L16">IFERROR(_xlfn.IFS(HLOOKUP(G16,MonFoodTable,2)=0,0,OR(H16="Server",H16="Bartender"),-D16*FoodTipPercentage,OR(H16="Expo",H16="Food Runner"),HLOOKUP(G16,MonFoodTable,5)*B16,H16="Host",0),"")</f>
        <v/>
      </c>
      <c r="M16" s="7" t="str" cm="1">
        <f t="array" ref="M16">IFERROR(_xlfn.IFS(HLOOKUP(G16,MonHostTable,2)=0,0,OR(H16="Server",H16="Bartender"),-F16*HostTipPercentage,H16="Host",HLOOKUP(G16,MonHostTable,5)*B16,OR(H16="Expo",H16="Food Runner"),0),"")</f>
        <v/>
      </c>
      <c r="N16" s="4"/>
      <c r="O16" s="5"/>
      <c r="P16" s="4"/>
      <c r="Q16" s="4"/>
      <c r="R16" s="4"/>
      <c r="S16" s="3">
        <f t="shared" si="16"/>
        <v>0</v>
      </c>
      <c r="T16" s="4"/>
      <c r="U16" s="4"/>
      <c r="V16" s="3">
        <f t="shared" ref="V16" si="163">IF(U16="Bartender",(HLOOKUP(T16,WedFoodTable,6)*O16)+(HLOOKUP(T16,WedHostTable,6)*O16)+X16,SUM(X16,Y16,Z16))</f>
        <v>0</v>
      </c>
      <c r="W16" s="3">
        <f t="shared" ref="W16" si="164">IFERROR(IF(U16="Bartender",(HLOOKUP(T16,WedBarTable,6)*O16)+V16,P16+V16),"")</f>
        <v>0</v>
      </c>
      <c r="X16" s="7">
        <f t="shared" ref="X16" si="165">IF(U16="Server",-R16*AlcoholTipPercentage,0)+IF(U16="Bartender",HLOOKUP(T16,WedBarTable,5)*O16)</f>
        <v>0</v>
      </c>
      <c r="Y16" s="7" t="str" cm="1">
        <f t="array" ref="Y16">IFERROR(_xlfn.IFS(HLOOKUP(T16,WedFoodTable,2)=0,0,OR(U16="Server",U16="Bartender"),-Q16*FoodTipPercentage,OR(U16="Expo",U16="Food Runner"),HLOOKUP(T16,WedFoodTable,5)*O16,U16="Host",0),"")</f>
        <v/>
      </c>
      <c r="Z16" s="7" t="str" cm="1">
        <f t="array" ref="Z16">IFERROR(_xlfn.IFS(HLOOKUP(T16,WedHostTable,2)=0,0,OR(U16="Server",U16="Bartender"),-S16*HostTipPercentage,U16="Host",HLOOKUP(T16,WedHostTable,5)*O16,OR(U16="Expo",U16="Food Runner"),0),"")</f>
        <v/>
      </c>
      <c r="AA16" s="11"/>
      <c r="AB16" s="12"/>
      <c r="AC16" s="11"/>
      <c r="AD16" s="11"/>
      <c r="AE16" s="11"/>
      <c r="AF16" s="37">
        <f t="shared" si="20"/>
        <v>0</v>
      </c>
      <c r="AG16" s="11"/>
      <c r="AH16" s="11"/>
      <c r="AI16" s="37">
        <f t="shared" ref="AI16" si="166">IF(AH16="Bartender",(HLOOKUP(AG16,FriFoodTable,6)*AB16)+(HLOOKUP(AG16,FriHostTable,6)*AB16)+AK16,SUM(AK16,AL16,AM16))</f>
        <v>0</v>
      </c>
      <c r="AJ16" s="37">
        <f t="shared" ref="AJ16" si="167">IFERROR(IF(AH16="Bartender",(HLOOKUP(AG16,FriBarTable,6)*AB16)+AI16,AC16+AI16),"")</f>
        <v>0</v>
      </c>
      <c r="AK16" s="7">
        <f t="shared" ref="AK16" si="168">IF(AH16="Server",-AE16*AlcoholTipPercentage,0)+IF(AH16="Bartender",HLOOKUP(AG16,FriBarTable,5)*AB16)</f>
        <v>0</v>
      </c>
      <c r="AL16" s="7" t="str" cm="1">
        <f t="array" ref="AL16">IFERROR(_xlfn.IFS(HLOOKUP(AG16,FriFoodTable,2)=0,0,OR(AH16="Server",AH16="Bartender"),-AD16*FoodTipPercentage,OR(AH16="Expo",AH16="Food Runner"),HLOOKUP(AG16,FriFoodTable,5)*AB16,AH16="Host",0),"")</f>
        <v/>
      </c>
      <c r="AM16" s="7" t="str" cm="1">
        <f t="array" ref="AM16">IFERROR(_xlfn.IFS(HLOOKUP(AG16,FriHostTable,2)=0,0,OR(AH16="Server",AH16="Bartender"),-AF16*HostTipPercentage,AH16="Host",HLOOKUP(AG16,FriHostTable,5)*AB16,OR(AH16="Expo",AH16="Food Runner"),0),"")</f>
        <v/>
      </c>
      <c r="AN16" s="4"/>
      <c r="AO16" s="5"/>
      <c r="AP16" s="4"/>
      <c r="AQ16" s="4"/>
      <c r="AR16" s="4"/>
      <c r="AS16" s="36">
        <f t="shared" si="24"/>
        <v>0</v>
      </c>
      <c r="AT16" s="4"/>
      <c r="AU16" s="4"/>
      <c r="AV16" s="36">
        <f t="shared" ref="AV16" si="169">IF(AU16="Bartender",(HLOOKUP(AT16,SunFoodTable,6)*AO16)+(HLOOKUP(AT16,SunHostTable,6)*AO16)+AX16,SUM(AX16,AY16,AZ16))</f>
        <v>0</v>
      </c>
      <c r="AW16" s="36">
        <f t="shared" ref="AW16" si="170">IFERROR(IF(AU16="Bartender",(HLOOKUP(AT16,SunBarTable,6)*AO16)+AV16,AP16+AV16),"")</f>
        <v>0</v>
      </c>
      <c r="AX16" s="7">
        <f t="shared" ref="AX16" si="171">IF(AU16="Server",-AR16*AlcoholTipPercentage,0)+IF(AU16="Bartender",HLOOKUP(AT16,SunBarTable,5)*AO16)</f>
        <v>0</v>
      </c>
      <c r="AY16" s="7" t="str" cm="1">
        <f t="array" ref="AY16">IFERROR(_xlfn.IFS(HLOOKUP(AT16,SunFoodTable,2)=0,0,OR(AU16="Server",AU16="Bartender"),-AQ16*FoodTipPercentage,OR(AU16="Expo",AU16="Food Runner"),HLOOKUP(AT16,SunFoodTable,5)*AO16,AU16="Host",0),"")</f>
        <v/>
      </c>
      <c r="AZ16" s="7" t="str" cm="1">
        <f t="array" ref="AZ16">IFERROR(_xlfn.IFS(HLOOKUP(AT16,SunHostTable,2)=0,0,OR(AU16="Server",AU16="Bartender"),-AS16*HostTipPercentage,AU16="Host",HLOOKUP(AT16,SunHostTable,5)*AO16,OR(AU16="Expo",AU16="Food Runner"),0),"")</f>
        <v/>
      </c>
    </row>
    <row r="17" spans="1:52" x14ac:dyDescent="0.2">
      <c r="A17" s="9"/>
      <c r="B17" s="10"/>
      <c r="C17" s="9"/>
      <c r="D17" s="9"/>
      <c r="E17" s="9"/>
      <c r="F17" s="1">
        <f t="shared" si="12"/>
        <v>0</v>
      </c>
      <c r="G17" s="9"/>
      <c r="H17" s="9"/>
      <c r="I17" s="1">
        <f t="shared" ref="I17" si="172">IF(H17="Bartender",(HLOOKUP(G17,MonFoodTable,6)*B17)+(HLOOKUP(G17,MonHostTable,6)*B17)+K17,SUM(K17,L17,M17))</f>
        <v>0</v>
      </c>
      <c r="J17" s="1">
        <f t="shared" ref="J17" si="173">IFERROR(IF(H17="Bartender",(HLOOKUP(G17,MonBarTable,6)*B17)+I17,C17+I17),"")</f>
        <v>0</v>
      </c>
      <c r="K17" s="7">
        <f t="shared" ref="K17" si="174">IF(H17="Server",-E17*AlcoholTipPercentage,0)+IF(H17="Bartender",HLOOKUP(G17,MonBarTable,5)*B17)</f>
        <v>0</v>
      </c>
      <c r="L17" s="7" t="str" cm="1">
        <f t="array" ref="L17">IFERROR(_xlfn.IFS(HLOOKUP(G17,MonFoodTable,2)=0,0,OR(H17="Server",H17="Bartender"),-D17*FoodTipPercentage,OR(H17="Expo",H17="Food Runner"),HLOOKUP(G17,MonFoodTable,5)*B17,H17="Host",0),"")</f>
        <v/>
      </c>
      <c r="M17" s="7" t="str" cm="1">
        <f t="array" ref="M17">IFERROR(_xlfn.IFS(HLOOKUP(G17,MonHostTable,2)=0,0,OR(H17="Server",H17="Bartender"),-F17*HostTipPercentage,H17="Host",HLOOKUP(G17,MonHostTable,5)*B17,OR(H17="Expo",H17="Food Runner"),0),"")</f>
        <v/>
      </c>
      <c r="N17" s="4"/>
      <c r="O17" s="5"/>
      <c r="P17" s="4"/>
      <c r="Q17" s="4"/>
      <c r="R17" s="4"/>
      <c r="S17" s="36">
        <f t="shared" si="16"/>
        <v>0</v>
      </c>
      <c r="T17" s="4"/>
      <c r="U17" s="4"/>
      <c r="V17" s="3">
        <f t="shared" ref="V17" si="175">IF(U17="Bartender",(HLOOKUP(T17,WedFoodTable,6)*O17)+(HLOOKUP(T17,WedHostTable,6)*O17)+X17,SUM(X17,Y17,Z17))</f>
        <v>0</v>
      </c>
      <c r="W17" s="36">
        <f t="shared" ref="W17" si="176">IFERROR(IF(U17="Bartender",(HLOOKUP(T17,WedBarTable,6)*O17)+V17,P17+V17),"")</f>
        <v>0</v>
      </c>
      <c r="X17" s="7">
        <f t="shared" ref="X17" si="177">IF(U17="Server",-R17*AlcoholTipPercentage,0)+IF(U17="Bartender",HLOOKUP(T17,WedBarTable,5)*O17)</f>
        <v>0</v>
      </c>
      <c r="Y17" s="7" t="str" cm="1">
        <f t="array" ref="Y17">IFERROR(_xlfn.IFS(HLOOKUP(T17,WedFoodTable,2)=0,0,OR(U17="Server",U17="Bartender"),-Q17*FoodTipPercentage,OR(U17="Expo",U17="Food Runner"),HLOOKUP(T17,WedFoodTable,5)*O17,U17="Host",0),"")</f>
        <v/>
      </c>
      <c r="Z17" s="7" t="str" cm="1">
        <f t="array" ref="Z17">IFERROR(_xlfn.IFS(HLOOKUP(T17,WedHostTable,2)=0,0,OR(U17="Server",U17="Bartender"),-S17*HostTipPercentage,U17="Host",HLOOKUP(T17,WedHostTable,5)*O17,OR(U17="Expo",U17="Food Runner"),0),"")</f>
        <v/>
      </c>
      <c r="AA17" s="11"/>
      <c r="AB17" s="12"/>
      <c r="AC17" s="11"/>
      <c r="AD17" s="11"/>
      <c r="AE17" s="11"/>
      <c r="AF17" s="37">
        <f t="shared" si="20"/>
        <v>0</v>
      </c>
      <c r="AG17" s="11"/>
      <c r="AH17" s="11"/>
      <c r="AI17" s="37">
        <f t="shared" ref="AI17" si="178">IF(AH17="Bartender",(HLOOKUP(AG17,FriFoodTable,6)*AB17)+(HLOOKUP(AG17,FriHostTable,6)*AB17)+AK17,SUM(AK17,AL17,AM17))</f>
        <v>0</v>
      </c>
      <c r="AJ17" s="37">
        <f t="shared" ref="AJ17" si="179">IFERROR(IF(AH17="Bartender",(HLOOKUP(AG17,FriBarTable,6)*AB17)+AI17,AC17+AI17),"")</f>
        <v>0</v>
      </c>
      <c r="AK17" s="7">
        <f t="shared" ref="AK17" si="180">IF(AH17="Server",-AE17*AlcoholTipPercentage,0)+IF(AH17="Bartender",HLOOKUP(AG17,FriBarTable,5)*AB17)</f>
        <v>0</v>
      </c>
      <c r="AL17" s="7" t="str" cm="1">
        <f t="array" ref="AL17">IFERROR(_xlfn.IFS(HLOOKUP(AG17,FriFoodTable,2)=0,0,OR(AH17="Server",AH17="Bartender"),-AD17*FoodTipPercentage,OR(AH17="Expo",AH17="Food Runner"),HLOOKUP(AG17,FriFoodTable,5)*AB17,AH17="Host",0),"")</f>
        <v/>
      </c>
      <c r="AM17" s="7" t="str" cm="1">
        <f t="array" ref="AM17">IFERROR(_xlfn.IFS(HLOOKUP(AG17,FriHostTable,2)=0,0,OR(AH17="Server",AH17="Bartender"),-AF17*HostTipPercentage,AH17="Host",HLOOKUP(AG17,FriHostTable,5)*AB17,OR(AH17="Expo",AH17="Food Runner"),0),"")</f>
        <v/>
      </c>
      <c r="AN17" s="4"/>
      <c r="AO17" s="5"/>
      <c r="AP17" s="4"/>
      <c r="AQ17" s="4"/>
      <c r="AR17" s="4"/>
      <c r="AS17" s="36">
        <f t="shared" si="24"/>
        <v>0</v>
      </c>
      <c r="AT17" s="4"/>
      <c r="AU17" s="4"/>
      <c r="AV17" s="36">
        <f t="shared" ref="AV17" si="181">IF(AU17="Bartender",(HLOOKUP(AT17,SunFoodTable,6)*AO17)+(HLOOKUP(AT17,SunHostTable,6)*AO17)+AX17,SUM(AX17,AY17,AZ17))</f>
        <v>0</v>
      </c>
      <c r="AW17" s="36">
        <f t="shared" ref="AW17" si="182">IFERROR(IF(AU17="Bartender",(HLOOKUP(AT17,SunBarTable,6)*AO17)+AV17,AP17+AV17),"")</f>
        <v>0</v>
      </c>
      <c r="AX17" s="7">
        <f t="shared" ref="AX17" si="183">IF(AU17="Server",-AR17*AlcoholTipPercentage,0)+IF(AU17="Bartender",HLOOKUP(AT17,SunBarTable,5)*AO17)</f>
        <v>0</v>
      </c>
      <c r="AY17" s="7" t="str" cm="1">
        <f t="array" ref="AY17">IFERROR(_xlfn.IFS(HLOOKUP(AT17,SunFoodTable,2)=0,0,OR(AU17="Server",AU17="Bartender"),-AQ17*FoodTipPercentage,OR(AU17="Expo",AU17="Food Runner"),HLOOKUP(AT17,SunFoodTable,5)*AO17,AU17="Host",0),"")</f>
        <v/>
      </c>
      <c r="AZ17" s="7" t="str" cm="1">
        <f t="array" ref="AZ17">IFERROR(_xlfn.IFS(HLOOKUP(AT17,SunHostTable,2)=0,0,OR(AU17="Server",AU17="Bartender"),-AS17*HostTipPercentage,AU17="Host",HLOOKUP(AT17,SunHostTable,5)*AO17,OR(AU17="Expo",AU17="Food Runner"),0),"")</f>
        <v/>
      </c>
    </row>
    <row r="18" spans="1:52" x14ac:dyDescent="0.2">
      <c r="A18" s="9"/>
      <c r="B18" s="10"/>
      <c r="C18" s="9"/>
      <c r="D18" s="9"/>
      <c r="E18" s="9"/>
      <c r="F18" s="1">
        <f t="shared" si="12"/>
        <v>0</v>
      </c>
      <c r="G18" s="9"/>
      <c r="H18" s="9"/>
      <c r="I18" s="1">
        <f t="shared" ref="I18" si="184">IF(H18="Bartender",(HLOOKUP(G18,MonFoodTable,6)*B18)+(HLOOKUP(G18,MonHostTable,6)*B18)+K18,SUM(K18,L18,M18))</f>
        <v>0</v>
      </c>
      <c r="J18" s="1">
        <f t="shared" ref="J18" si="185">IFERROR(IF(H18="Bartender",(HLOOKUP(G18,MonBarTable,6)*B18)+I18,C18+I18),"")</f>
        <v>0</v>
      </c>
      <c r="K18" s="7">
        <f t="shared" ref="K18" si="186">IF(H18="Server",-E18*AlcoholTipPercentage,0)+IF(H18="Bartender",HLOOKUP(G18,MonBarTable,5)*B18)</f>
        <v>0</v>
      </c>
      <c r="L18" s="7" t="str" cm="1">
        <f t="array" ref="L18">IFERROR(_xlfn.IFS(HLOOKUP(G18,MonFoodTable,2)=0,0,OR(H18="Server",H18="Bartender"),-D18*FoodTipPercentage,OR(H18="Expo",H18="Food Runner"),HLOOKUP(G18,MonFoodTable,5)*B18,H18="Host",0),"")</f>
        <v/>
      </c>
      <c r="M18" s="7" t="str" cm="1">
        <f t="array" ref="M18">IFERROR(_xlfn.IFS(HLOOKUP(G18,MonHostTable,2)=0,0,OR(H18="Server",H18="Bartender"),-F18*HostTipPercentage,H18="Host",HLOOKUP(G18,MonHostTable,5)*B18,OR(H18="Expo",H18="Food Runner"),0),"")</f>
        <v/>
      </c>
      <c r="N18" s="4"/>
      <c r="O18" s="5"/>
      <c r="P18" s="4"/>
      <c r="Q18" s="4"/>
      <c r="R18" s="4"/>
      <c r="S18" s="36">
        <f t="shared" si="16"/>
        <v>0</v>
      </c>
      <c r="T18" s="4"/>
      <c r="U18" s="4"/>
      <c r="V18" s="3">
        <f t="shared" ref="V18" si="187">IF(U18="Bartender",(HLOOKUP(T18,WedFoodTable,6)*O18)+(HLOOKUP(T18,WedHostTable,6)*O18)+X18,SUM(X18,Y18,Z18))</f>
        <v>0</v>
      </c>
      <c r="W18" s="36">
        <f t="shared" ref="W18" si="188">IFERROR(IF(U18="Bartender",(HLOOKUP(T18,WedBarTable,6)*O18)+V18,P18+V18),"")</f>
        <v>0</v>
      </c>
      <c r="X18" s="7">
        <f t="shared" ref="X18" si="189">IF(U18="Server",-R18*AlcoholTipPercentage,0)+IF(U18="Bartender",HLOOKUP(T18,WedBarTable,5)*O18)</f>
        <v>0</v>
      </c>
      <c r="Y18" s="7" t="str" cm="1">
        <f t="array" ref="Y18">IFERROR(_xlfn.IFS(HLOOKUP(T18,WedFoodTable,2)=0,0,OR(U18="Server",U18="Bartender"),-Q18*FoodTipPercentage,OR(U18="Expo",U18="Food Runner"),HLOOKUP(T18,WedFoodTable,5)*O18,U18="Host",0),"")</f>
        <v/>
      </c>
      <c r="Z18" s="7" t="str" cm="1">
        <f t="array" ref="Z18">IFERROR(_xlfn.IFS(HLOOKUP(T18,WedHostTable,2)=0,0,OR(U18="Server",U18="Bartender"),-S18*HostTipPercentage,U18="Host",HLOOKUP(T18,WedHostTable,5)*O18,OR(U18="Expo",U18="Food Runner"),0),"")</f>
        <v/>
      </c>
      <c r="AA18" s="11"/>
      <c r="AB18" s="12"/>
      <c r="AC18" s="11"/>
      <c r="AD18" s="11"/>
      <c r="AE18" s="11"/>
      <c r="AF18" s="37">
        <f t="shared" si="20"/>
        <v>0</v>
      </c>
      <c r="AG18" s="11"/>
      <c r="AH18" s="11"/>
      <c r="AI18" s="37">
        <f t="shared" ref="AI18" si="190">IF(AH18="Bartender",(HLOOKUP(AG18,FriFoodTable,6)*AB18)+(HLOOKUP(AG18,FriHostTable,6)*AB18)+AK18,SUM(AK18,AL18,AM18))</f>
        <v>0</v>
      </c>
      <c r="AJ18" s="37">
        <f t="shared" ref="AJ18" si="191">IFERROR(IF(AH18="Bartender",(HLOOKUP(AG18,FriBarTable,6)*AB18)+AI18,AC18+AI18),"")</f>
        <v>0</v>
      </c>
      <c r="AK18" s="7">
        <f t="shared" ref="AK18" si="192">IF(AH18="Server",-AE18*AlcoholTipPercentage,0)+IF(AH18="Bartender",HLOOKUP(AG18,FriBarTable,5)*AB18)</f>
        <v>0</v>
      </c>
      <c r="AL18" s="7" t="str" cm="1">
        <f t="array" ref="AL18">IFERROR(_xlfn.IFS(HLOOKUP(AG18,FriFoodTable,2)=0,0,OR(AH18="Server",AH18="Bartender"),-AD18*FoodTipPercentage,OR(AH18="Expo",AH18="Food Runner"),HLOOKUP(AG18,FriFoodTable,5)*AB18,AH18="Host",0),"")</f>
        <v/>
      </c>
      <c r="AM18" s="7" t="str" cm="1">
        <f t="array" ref="AM18">IFERROR(_xlfn.IFS(HLOOKUP(AG18,FriHostTable,2)=0,0,OR(AH18="Server",AH18="Bartender"),-AF18*HostTipPercentage,AH18="Host",HLOOKUP(AG18,FriHostTable,5)*AB18,OR(AH18="Expo",AH18="Food Runner"),0),"")</f>
        <v/>
      </c>
      <c r="AN18" s="4"/>
      <c r="AO18" s="5"/>
      <c r="AP18" s="4"/>
      <c r="AQ18" s="4"/>
      <c r="AR18" s="4"/>
      <c r="AS18" s="36">
        <f t="shared" si="24"/>
        <v>0</v>
      </c>
      <c r="AT18" s="4"/>
      <c r="AU18" s="4"/>
      <c r="AV18" s="36">
        <f t="shared" ref="AV18" si="193">IF(AU18="Bartender",(HLOOKUP(AT18,SunFoodTable,6)*AO18)+(HLOOKUP(AT18,SunHostTable,6)*AO18)+AX18,SUM(AX18,AY18,AZ18))</f>
        <v>0</v>
      </c>
      <c r="AW18" s="36">
        <f t="shared" ref="AW18" si="194">IFERROR(IF(AU18="Bartender",(HLOOKUP(AT18,SunBarTable,6)*AO18)+AV18,AP18+AV18),"")</f>
        <v>0</v>
      </c>
      <c r="AX18" s="7">
        <f t="shared" ref="AX18" si="195">IF(AU18="Server",-AR18*AlcoholTipPercentage,0)+IF(AU18="Bartender",HLOOKUP(AT18,SunBarTable,5)*AO18)</f>
        <v>0</v>
      </c>
      <c r="AY18" s="7" t="str" cm="1">
        <f t="array" ref="AY18">IFERROR(_xlfn.IFS(HLOOKUP(AT18,SunFoodTable,2)=0,0,OR(AU18="Server",AU18="Bartender"),-AQ18*FoodTipPercentage,OR(AU18="Expo",AU18="Food Runner"),HLOOKUP(AT18,SunFoodTable,5)*AO18,AU18="Host",0),"")</f>
        <v/>
      </c>
      <c r="AZ18" s="7" t="str" cm="1">
        <f t="array" ref="AZ18">IFERROR(_xlfn.IFS(HLOOKUP(AT18,SunHostTable,2)=0,0,OR(AU18="Server",AU18="Bartender"),-AS18*HostTipPercentage,AU18="Host",HLOOKUP(AT18,SunHostTable,5)*AO18,OR(AU18="Expo",AU18="Food Runner"),0),"")</f>
        <v/>
      </c>
    </row>
    <row r="19" spans="1:52" x14ac:dyDescent="0.2">
      <c r="A19" s="9"/>
      <c r="B19" s="10"/>
      <c r="C19" s="9"/>
      <c r="D19" s="9"/>
      <c r="E19" s="9"/>
      <c r="F19" s="1">
        <f t="shared" si="12"/>
        <v>0</v>
      </c>
      <c r="G19" s="9"/>
      <c r="H19" s="9"/>
      <c r="I19" s="1">
        <f t="shared" ref="I19" si="196">IF(H19="Bartender",(HLOOKUP(G19,MonFoodTable,6)*B19)+(HLOOKUP(G19,MonHostTable,6)*B19)+K19,SUM(K19,L19,M19))</f>
        <v>0</v>
      </c>
      <c r="J19" s="1">
        <f t="shared" ref="J19" si="197">IFERROR(IF(H19="Bartender",(HLOOKUP(G19,MonBarTable,6)*B19)+I19,C19+I19),"")</f>
        <v>0</v>
      </c>
      <c r="K19" s="7">
        <f t="shared" ref="K19" si="198">IF(H19="Server",-E19*AlcoholTipPercentage,0)+IF(H19="Bartender",HLOOKUP(G19,MonBarTable,5)*B19)</f>
        <v>0</v>
      </c>
      <c r="L19" s="7" t="str" cm="1">
        <f t="array" ref="L19">IFERROR(_xlfn.IFS(HLOOKUP(G19,MonFoodTable,2)=0,0,OR(H19="Server",H19="Bartender"),-D19*FoodTipPercentage,OR(H19="Expo",H19="Food Runner"),HLOOKUP(G19,MonFoodTable,5)*B19,H19="Host",0),"")</f>
        <v/>
      </c>
      <c r="M19" s="7" t="str" cm="1">
        <f t="array" ref="M19">IFERROR(_xlfn.IFS(HLOOKUP(G19,MonHostTable,2)=0,0,OR(H19="Server",H19="Bartender"),-F19*HostTipPercentage,H19="Host",HLOOKUP(G19,MonHostTable,5)*B19,OR(H19="Expo",H19="Food Runner"),0),"")</f>
        <v/>
      </c>
      <c r="N19" s="4"/>
      <c r="O19" s="5"/>
      <c r="P19" s="4"/>
      <c r="Q19" s="4"/>
      <c r="R19" s="4"/>
      <c r="S19" s="36">
        <f t="shared" si="16"/>
        <v>0</v>
      </c>
      <c r="T19" s="4"/>
      <c r="U19" s="4"/>
      <c r="V19" s="3">
        <f t="shared" ref="V19" si="199">IF(U19="Bartender",(HLOOKUP(T19,WedFoodTable,6)*O19)+(HLOOKUP(T19,WedHostTable,6)*O19)+X19,SUM(X19,Y19,Z19))</f>
        <v>0</v>
      </c>
      <c r="W19" s="36">
        <f t="shared" ref="W19" si="200">IFERROR(IF(U19="Bartender",(HLOOKUP(T19,WedBarTable,6)*O19)+V19,P19+V19),"")</f>
        <v>0</v>
      </c>
      <c r="X19" s="7">
        <f t="shared" ref="X19" si="201">IF(U19="Server",-R19*AlcoholTipPercentage,0)+IF(U19="Bartender",HLOOKUP(T19,WedBarTable,5)*O19)</f>
        <v>0</v>
      </c>
      <c r="Y19" s="7" t="str" cm="1">
        <f t="array" ref="Y19">IFERROR(_xlfn.IFS(HLOOKUP(T19,WedFoodTable,2)=0,0,OR(U19="Server",U19="Bartender"),-Q19*FoodTipPercentage,OR(U19="Expo",U19="Food Runner"),HLOOKUP(T19,WedFoodTable,5)*O19,U19="Host",0),"")</f>
        <v/>
      </c>
      <c r="Z19" s="7" t="str" cm="1">
        <f t="array" ref="Z19">IFERROR(_xlfn.IFS(HLOOKUP(T19,WedHostTable,2)=0,0,OR(U19="Server",U19="Bartender"),-S19*HostTipPercentage,U19="Host",HLOOKUP(T19,WedHostTable,5)*O19,OR(U19="Expo",U19="Food Runner"),0),"")</f>
        <v/>
      </c>
      <c r="AA19" s="11"/>
      <c r="AB19" s="12"/>
      <c r="AC19" s="11"/>
      <c r="AD19" s="11"/>
      <c r="AE19" s="11"/>
      <c r="AF19" s="37">
        <f t="shared" si="20"/>
        <v>0</v>
      </c>
      <c r="AG19" s="11"/>
      <c r="AH19" s="11"/>
      <c r="AI19" s="37">
        <f t="shared" ref="AI19" si="202">IF(AH19="Bartender",(HLOOKUP(AG19,FriFoodTable,6)*AB19)+(HLOOKUP(AG19,FriHostTable,6)*AB19)+AK19,SUM(AK19,AL19,AM19))</f>
        <v>0</v>
      </c>
      <c r="AJ19" s="37">
        <f t="shared" ref="AJ19" si="203">IFERROR(IF(AH19="Bartender",(HLOOKUP(AG19,FriBarTable,6)*AB19)+AI19,AC19+AI19),"")</f>
        <v>0</v>
      </c>
      <c r="AK19" s="7">
        <f t="shared" ref="AK19" si="204">IF(AH19="Server",-AE19*AlcoholTipPercentage,0)+IF(AH19="Bartender",HLOOKUP(AG19,FriBarTable,5)*AB19)</f>
        <v>0</v>
      </c>
      <c r="AL19" s="7" t="str" cm="1">
        <f t="array" ref="AL19">IFERROR(_xlfn.IFS(HLOOKUP(AG19,FriFoodTable,2)=0,0,OR(AH19="Server",AH19="Bartender"),-AD19*FoodTipPercentage,OR(AH19="Expo",AH19="Food Runner"),HLOOKUP(AG19,FriFoodTable,5)*AB19,AH19="Host",0),"")</f>
        <v/>
      </c>
      <c r="AM19" s="7" t="str" cm="1">
        <f t="array" ref="AM19">IFERROR(_xlfn.IFS(HLOOKUP(AG19,FriHostTable,2)=0,0,OR(AH19="Server",AH19="Bartender"),-AF19*HostTipPercentage,AH19="Host",HLOOKUP(AG19,FriHostTable,5)*AB19,OR(AH19="Expo",AH19="Food Runner"),0),"")</f>
        <v/>
      </c>
      <c r="AN19" s="4"/>
      <c r="AO19" s="5"/>
      <c r="AP19" s="4"/>
      <c r="AQ19" s="4"/>
      <c r="AR19" s="4"/>
      <c r="AS19" s="36">
        <f t="shared" si="24"/>
        <v>0</v>
      </c>
      <c r="AT19" s="4"/>
      <c r="AU19" s="4"/>
      <c r="AV19" s="36">
        <f t="shared" ref="AV19" si="205">IF(AU19="Bartender",(HLOOKUP(AT19,SunFoodTable,6)*AO19)+(HLOOKUP(AT19,SunHostTable,6)*AO19)+AX19,SUM(AX19,AY19,AZ19))</f>
        <v>0</v>
      </c>
      <c r="AW19" s="36">
        <f t="shared" ref="AW19" si="206">IFERROR(IF(AU19="Bartender",(HLOOKUP(AT19,SunBarTable,6)*AO19)+AV19,AP19+AV19),"")</f>
        <v>0</v>
      </c>
      <c r="AX19" s="7">
        <f t="shared" ref="AX19" si="207">IF(AU19="Server",-AR19*AlcoholTipPercentage,0)+IF(AU19="Bartender",HLOOKUP(AT19,SunBarTable,5)*AO19)</f>
        <v>0</v>
      </c>
      <c r="AY19" s="7" t="str" cm="1">
        <f t="array" ref="AY19">IFERROR(_xlfn.IFS(HLOOKUP(AT19,SunFoodTable,2)=0,0,OR(AU19="Server",AU19="Bartender"),-AQ19*FoodTipPercentage,OR(AU19="Expo",AU19="Food Runner"),HLOOKUP(AT19,SunFoodTable,5)*AO19,AU19="Host",0),"")</f>
        <v/>
      </c>
      <c r="AZ19" s="7" t="str" cm="1">
        <f t="array" ref="AZ19">IFERROR(_xlfn.IFS(HLOOKUP(AT19,SunHostTable,2)=0,0,OR(AU19="Server",AU19="Bartender"),-AS19*HostTipPercentage,AU19="Host",HLOOKUP(AT19,SunHostTable,5)*AO19,OR(AU19="Expo",AU19="Food Runner"),0),"")</f>
        <v/>
      </c>
    </row>
    <row r="20" spans="1:52" x14ac:dyDescent="0.2">
      <c r="A20" s="7" t="s">
        <v>15</v>
      </c>
      <c r="B20" s="13" t="s">
        <v>15</v>
      </c>
      <c r="C20" s="7" t="s">
        <v>26</v>
      </c>
      <c r="D20" s="7" t="s">
        <v>33</v>
      </c>
      <c r="E20" s="7" t="s">
        <v>30</v>
      </c>
      <c r="I20" s="7" t="s">
        <v>34</v>
      </c>
      <c r="K20" s="7">
        <f>SUM(K3:K19)</f>
        <v>0</v>
      </c>
      <c r="L20" s="7">
        <f>SUM(L3:L19)</f>
        <v>0</v>
      </c>
      <c r="M20" s="7">
        <f ca="1">SUM(M3:M19)</f>
        <v>0</v>
      </c>
      <c r="N20" s="7" t="s">
        <v>15</v>
      </c>
      <c r="O20" s="13" t="s">
        <v>15</v>
      </c>
      <c r="P20" s="7" t="s">
        <v>26</v>
      </c>
      <c r="Q20" s="7" t="s">
        <v>33</v>
      </c>
      <c r="R20" s="7" t="s">
        <v>30</v>
      </c>
      <c r="V20" s="7" t="s">
        <v>34</v>
      </c>
      <c r="X20" s="7">
        <f>SUM(X3:X19)</f>
        <v>0</v>
      </c>
      <c r="Y20" s="7">
        <f ca="1">SUM(Y3:Y19)</f>
        <v>0</v>
      </c>
      <c r="Z20" s="7">
        <f ca="1">SUM(Z3:Z19)</f>
        <v>0</v>
      </c>
      <c r="AA20" s="7" t="s">
        <v>15</v>
      </c>
      <c r="AB20" s="13" t="s">
        <v>15</v>
      </c>
      <c r="AC20" s="7" t="s">
        <v>26</v>
      </c>
      <c r="AD20" s="7" t="s">
        <v>33</v>
      </c>
      <c r="AE20" s="7" t="s">
        <v>30</v>
      </c>
      <c r="AI20" s="7" t="s">
        <v>34</v>
      </c>
      <c r="AK20" s="7">
        <f>SUM(AK3:AK19)</f>
        <v>1.7763568394002505E-15</v>
      </c>
      <c r="AL20" s="7">
        <f ca="1">SUM(AL3:AL19)</f>
        <v>0</v>
      </c>
      <c r="AM20" s="7">
        <f ca="1">SUM(AM3:AM19)</f>
        <v>0</v>
      </c>
      <c r="AN20" s="7" t="s">
        <v>15</v>
      </c>
      <c r="AO20" s="13" t="s">
        <v>15</v>
      </c>
      <c r="AP20" s="7" t="s">
        <v>26</v>
      </c>
      <c r="AQ20" s="7" t="s">
        <v>33</v>
      </c>
      <c r="AR20" s="7" t="s">
        <v>30</v>
      </c>
      <c r="AV20" s="7" t="s">
        <v>34</v>
      </c>
      <c r="AX20" s="7">
        <f>SUM(AX3:AX19)</f>
        <v>0</v>
      </c>
      <c r="AY20" s="7">
        <f ca="1">SUM(AY3:AY19)</f>
        <v>0</v>
      </c>
      <c r="AZ20" s="7">
        <f ca="1">SUM(AZ3:AZ19)</f>
        <v>0</v>
      </c>
    </row>
    <row r="21" spans="1:52" x14ac:dyDescent="0.2">
      <c r="A21" s="7" t="s">
        <v>14</v>
      </c>
      <c r="B21" s="13" t="s">
        <v>20</v>
      </c>
      <c r="C21" s="7" t="s">
        <v>14</v>
      </c>
      <c r="D21" s="7" t="s">
        <v>20</v>
      </c>
      <c r="E21" s="7" t="s">
        <v>14</v>
      </c>
      <c r="F21" s="7" t="s">
        <v>20</v>
      </c>
      <c r="N21" s="7" t="s">
        <v>14</v>
      </c>
      <c r="O21" s="13" t="s">
        <v>20</v>
      </c>
      <c r="P21" s="7" t="s">
        <v>14</v>
      </c>
      <c r="Q21" s="7" t="s">
        <v>20</v>
      </c>
      <c r="R21" s="7" t="s">
        <v>14</v>
      </c>
      <c r="S21" s="7" t="s">
        <v>20</v>
      </c>
      <c r="AA21" s="7" t="s">
        <v>14</v>
      </c>
      <c r="AB21" s="13" t="s">
        <v>20</v>
      </c>
      <c r="AC21" s="7" t="s">
        <v>14</v>
      </c>
      <c r="AD21" s="7" t="s">
        <v>20</v>
      </c>
      <c r="AE21" s="7" t="s">
        <v>14</v>
      </c>
      <c r="AF21" s="7" t="s">
        <v>20</v>
      </c>
      <c r="AN21" s="7" t="s">
        <v>14</v>
      </c>
      <c r="AO21" s="13" t="s">
        <v>20</v>
      </c>
      <c r="AP21" s="7" t="s">
        <v>14</v>
      </c>
      <c r="AQ21" s="7" t="s">
        <v>20</v>
      </c>
      <c r="AR21" s="7" t="s">
        <v>14</v>
      </c>
      <c r="AS21" s="7" t="s">
        <v>20</v>
      </c>
    </row>
    <row r="22" spans="1:52" x14ac:dyDescent="0.2">
      <c r="A22" s="7">
        <f>SUMIFS(Sample!MonHours,Sample!MonAMPM,A21,Sample!MonJobCode,"Bartender")</f>
        <v>8</v>
      </c>
      <c r="B22" s="13">
        <f>SUMIFS(Sample!MonHours,Sample!MonAMPM,B21,Sample!MonJobCode,"Bartender")</f>
        <v>8</v>
      </c>
      <c r="C22" s="7">
        <f>SUMIFS(Sample!MonHours,Sample!MonAMPM,C21,Sample!MonJobCode,"Food Runner")+SUMIFS(Sample!MonHours,Sample!MonAMPM,C21,Sample!MonJobCode,"Expo")</f>
        <v>0</v>
      </c>
      <c r="D22" s="7">
        <f>SUMIFS(Sample!MonHours,Sample!MonAMPM,D21,Sample!MonJobCode,"Food Runner")+SUMIFS(Sample!MonHours,Sample!MonAMPM,D21,Sample!MonJobCode,"Expo")</f>
        <v>0</v>
      </c>
      <c r="E22" s="7">
        <f>SUMIFS(Sample!MonHours,Sample!MonAMPM,E21,Sample!MonJobCode,"Host")</f>
        <v>0</v>
      </c>
      <c r="F22" s="7">
        <f>SUMIFS(Sample!MonHours,Sample!MonAMPM,F21,Sample!MonJobCode,"Host")</f>
        <v>5</v>
      </c>
      <c r="G22" s="7" t="s">
        <v>35</v>
      </c>
      <c r="N22" s="7">
        <f>SUMIFS(Sample!WedHours,Sample!WedAMPM,N21,Sample!WedJobCode,"Bartender")</f>
        <v>8</v>
      </c>
      <c r="O22" s="13">
        <f>SUMIFS(Sample!WedHours,Sample!WedAMPM,O21,Sample!WedJobCode,"Bartender")</f>
        <v>13</v>
      </c>
      <c r="P22" s="7">
        <f>SUMIFS(Sample!WedHours,Sample!WedAMPM,P21,Sample!WedJobCode,"Food Runner")+SUMIFS(Sample!WedHours,Sample!WedAMPM,P21,Sample!WedJobCode,"Expo")</f>
        <v>0</v>
      </c>
      <c r="Q22" s="7">
        <f>SUMIFS(Sample!WedHours,Sample!WedAMPM,Q21,Sample!WedJobCode,"Food Runner")+SUMIFS(Sample!WedHours,Sample!WedAMPM,Q21,Sample!WedJobCode,"Expo")</f>
        <v>4</v>
      </c>
      <c r="R22" s="7">
        <f>SUMIFS(Sample!WedHours,Sample!WedAMPM,R21,Sample!WedJobCode,"Host")</f>
        <v>6</v>
      </c>
      <c r="S22" s="7">
        <f>SUMIFS(Sample!WedHours,Sample!WedAMPM,S21,Sample!WedJobCode,"Host")</f>
        <v>6</v>
      </c>
      <c r="T22" s="7" t="s">
        <v>35</v>
      </c>
      <c r="AA22" s="7">
        <f>SUMIFS(Sample!FriHours,Sample!FriAMPM,AA21,Sample!FriJobCode,"Bartender")</f>
        <v>16</v>
      </c>
      <c r="AB22" s="13">
        <f>SUMIFS(Sample!FriHours,Sample!FriAMPM,AB21,Sample!FriJobCode,"Bartender")</f>
        <v>14</v>
      </c>
      <c r="AC22" s="7">
        <f>SUMIFS(Sample!FriHours,Sample!FriAMPM,AC21,Sample!FriJobCode,"Food Runner")+SUMIFS(Sample!FriHours,Sample!FriAMPM,AC21,Sample!FriJobCode,"Expo")</f>
        <v>0</v>
      </c>
      <c r="AD22" s="7">
        <f>SUMIFS(Sample!FriHours,Sample!FriAMPM,AD21,Sample!FriJobCode,"Food Runner")+SUMIFS(Sample!FriHours,Sample!FriAMPM,AD21,Sample!FriJobCode,"Expo")</f>
        <v>6</v>
      </c>
      <c r="AE22" s="7">
        <f>SUMIFS(Sample!FriHours,Sample!FriAMPM,AE21,Sample!FriJobCode,"Host")</f>
        <v>0</v>
      </c>
      <c r="AF22" s="7">
        <f>SUMIFS(Sample!FriHours,Sample!FriAMPM,AF21,Sample!FriJobCode,"Host")</f>
        <v>6</v>
      </c>
      <c r="AG22" s="7" t="s">
        <v>35</v>
      </c>
      <c r="AN22" s="7">
        <f>SUMIFS(Sample!SunHours,Sample!SunAMPM,AN21,Sample!SunJobCode,"Bartender")</f>
        <v>8</v>
      </c>
      <c r="AO22" s="13">
        <f>SUMIFS(Sample!SunHours,Sample!SunAMPM,AO21,Sample!SunJobCode,"Bartender")</f>
        <v>8</v>
      </c>
      <c r="AP22" s="7">
        <f>SUMIFS(Sample!SunHours,Sample!SunAMPM,AP21,Sample!SunJobCode,"Food Runner")+SUMIFS(Sample!SunHours,Sample!SunAMPM,AP21,Sample!SunJobCode,"Expo")</f>
        <v>6</v>
      </c>
      <c r="AQ22" s="7">
        <f>SUMIFS(Sample!SunHours,Sample!SunAMPM,AQ21,Sample!SunJobCode,"Food Runner")+SUMIFS(Sample!SunHours,Sample!SunAMPM,AQ21,Sample!SunJobCode,"Expo")</f>
        <v>7</v>
      </c>
      <c r="AR22" s="7">
        <f>SUMIFS(Sample!SunHours,Sample!SunAMPM,AR21,Sample!SunJobCode,"Host")</f>
        <v>0</v>
      </c>
      <c r="AS22" s="7">
        <f>SUMIFS(Sample!SunHours,Sample!SunAMPM,AS21,Sample!SunJobCode,"Host")</f>
        <v>0</v>
      </c>
      <c r="AT22" s="7" t="s">
        <v>35</v>
      </c>
    </row>
    <row r="23" spans="1:52" x14ac:dyDescent="0.2">
      <c r="A23" s="7">
        <f>SUMIFS(MonAlcTipout,Sample!MonAMPM,A21,Sample!MonJobCode,"&lt;&gt;Bartender")*-1</f>
        <v>3</v>
      </c>
      <c r="B23" s="66">
        <f>SUMIFS(MonAlcTipout,Sample!MonAMPM,B21,Sample!MonJobCode,"&lt;&gt;Bartender")*-1</f>
        <v>24</v>
      </c>
      <c r="C23" s="7">
        <f>ABS(IF(C22=0,0,(SUMIFS(MonFoodTipout,Sample!MonAMPM,C21,Sample!MonJobCode,"Server")+(SUMIFS(MonFoodTipout,Sample!MonAMPM,C21,Sample!MonJobCode,"Bartender")))))</f>
        <v>0</v>
      </c>
      <c r="D23" s="7">
        <f>ABS(IF(D22=0,0,(SUMIFS(MonFoodTipout,Sample!MonAMPM,D21,Sample!MonJobCode,"Server")+(SUMIFS(MonFoodTipout,Sample!MonAMPM,D21,Sample!MonJobCode,"Bartender")))))</f>
        <v>0</v>
      </c>
      <c r="E23" s="7">
        <f ca="1">ABS(SUMIFS(MonHostTipout,Sample!MonAMPM,E21,Sample!MonJobCode,"&lt;&gt;Host"))</f>
        <v>0</v>
      </c>
      <c r="F23" s="7">
        <f ca="1">ABS(SUMIFS(MonHostTipout,Sample!MonAMPM,F21,Sample!MonJobCode,"&lt;&gt;Host"))</f>
        <v>35.090000000000003</v>
      </c>
      <c r="G23" s="7" t="s">
        <v>36</v>
      </c>
      <c r="N23" s="7">
        <f>SUMIFS(WedAlcTipout,Sample!WedAMPM,N21,Sample!WedJobCode,"&lt;&gt;Bartender")*-1</f>
        <v>20.34</v>
      </c>
      <c r="O23" s="66">
        <f>SUMIFS(WedAlcTipout,Sample!WedAMPM,O21,Sample!WedJobCode,"&lt;&gt;Bartender")*-1</f>
        <v>56.22</v>
      </c>
      <c r="P23" s="7">
        <f>ABS(IF(P22=0,0,(SUMIFS(WedFoodTipout,Sample!WedAMPM,P21,Sample!WedJobCode,"Server")+(SUMIFS(WedFoodTipout,Sample!WedAMPM,P21,Sample!WedJobCode,"Bartender")))))</f>
        <v>0</v>
      </c>
      <c r="Q23" s="7">
        <f ca="1">ABS(IF(Q22=0,0,(SUMIFS(WedFoodTipout,Sample!WedAMPM,Q21,Sample!WedJobCode,"Server")+(SUMIFS(WedFoodTipout,Sample!WedAMPM,Q21,Sample!WedJobCode,"Bartender")))))</f>
        <v>54.94</v>
      </c>
      <c r="R23" s="7">
        <f ca="1">ABS(SUMIFS(WedHostTipout,Sample!WedAMPM,R21,Sample!WedJobCode,"&lt;&gt;Host"))</f>
        <v>36.07</v>
      </c>
      <c r="S23" s="7">
        <f ca="1">ABS(SUMIFS(WedHostTipout,Sample!WedAMPM,S21,Sample!WedJobCode,"&lt;&gt;Host"))</f>
        <v>61.490000000000009</v>
      </c>
      <c r="T23" s="7" t="s">
        <v>36</v>
      </c>
      <c r="AA23" s="7">
        <f>SUMIFS(FriAlcTipout,Sample!FriAMPM,AA21,Sample!FriJobCode,"&lt;&gt;Bartender")*-1</f>
        <v>41.01</v>
      </c>
      <c r="AB23" s="66">
        <f>SUMIFS(FriAlcTipout,Sample!FriAMPM,AB21,Sample!FriJobCode,"&lt;&gt;Bartender")*-1</f>
        <v>42</v>
      </c>
      <c r="AC23" s="7">
        <f>ABS(IF(AC22=0,0,(SUMIFS(FriFoodTipout,Sample!FriAMPM,AC21,Sample!FriJobCode,"Server")+(SUMIFS(FriFoodTipout,Sample!FriAMPM,AC21,Sample!FriJobCode,"Bartender")))))</f>
        <v>0</v>
      </c>
      <c r="AD23" s="7">
        <f ca="1">ABS(IF(AD22=0,0,(SUMIFS(FriFoodTipout,Sample!FriAMPM,AD21,Sample!FriJobCode,"Server")+(SUMIFS(FriFoodTipout,Sample!FriAMPM,AD21,Sample!FriJobCode,"Bartender")))))</f>
        <v>56.5</v>
      </c>
      <c r="AE23" s="7">
        <f ca="1">ABS(SUMIFS(FriHostTipout,Sample!FriAMPM,AE21,Sample!FriJobCode,"&lt;&gt;Host"))</f>
        <v>0</v>
      </c>
      <c r="AF23" s="7">
        <f ca="1">ABS(SUMIFS(FriHostTipout,Sample!FriAMPM,AF21,Sample!FriJobCode,"&lt;&gt;Host"))</f>
        <v>48.05</v>
      </c>
      <c r="AG23" s="7" t="s">
        <v>36</v>
      </c>
      <c r="AN23" s="7">
        <f>SUMIFS(SunAlcTipout,Sample!SunAMPM,AN21,Sample!SunJobCode,"&lt;&gt;Bartender")*-1</f>
        <v>3</v>
      </c>
      <c r="AO23" s="66">
        <f>SUMIFS(SunAlcTipout,Sample!SunAMPM,AO21,Sample!SunJobCode,"&lt;&gt;Bartender")*-1</f>
        <v>24</v>
      </c>
      <c r="AP23" s="7">
        <f ca="1">ABS(IF(AP22=0,0,(SUMIFS(SunFoodTipout,Sample!SunAMPM,AP21,Sample!SunJobCode,"Server")+(SUMIFS(SunFoodTipout,Sample!SunAMPM,AP21,Sample!SunJobCode,"Bartender")))))</f>
        <v>32</v>
      </c>
      <c r="AQ23" s="7">
        <f ca="1">ABS(IF(AQ22=0,0,(SUMIFS(SunFoodTipout,Sample!SunAMPM,AQ21,Sample!SunJobCode,"Server")+(SUMIFS(SunFoodTipout,Sample!SunAMPM,AQ21,Sample!SunJobCode,"Bartender")))))</f>
        <v>42.84</v>
      </c>
      <c r="AR23" s="7">
        <f ca="1">ABS(SUMIFS(SunHostTipout,Sample!SunAMPM,AR21,Sample!SunJobCode,"&lt;&gt;Host"))</f>
        <v>0</v>
      </c>
      <c r="AS23" s="7">
        <f ca="1">ABS(SUMIFS(SunHostTipout,Sample!SunAMPM,AS21,Sample!SunJobCode,"&lt;&gt;Host"))</f>
        <v>0</v>
      </c>
      <c r="AT23" s="7" t="s">
        <v>36</v>
      </c>
    </row>
    <row r="24" spans="1:52" x14ac:dyDescent="0.2">
      <c r="A24" s="66">
        <f>SUMIFS(Sample!MonTips,Sample!MonAMPM,A21,Sample!MonJobCode,A20)</f>
        <v>241</v>
      </c>
      <c r="B24" s="66">
        <f>SUMIFS(Sample!MonTips,Sample!MonAMPM,B21,Sample!MonJobCode,B20)</f>
        <v>250</v>
      </c>
      <c r="C24" s="7">
        <f>SUMIFS(MonFoodTipout,Sample!MonAMPM,C21,Sample!MonJobCode,"Bartender")</f>
        <v>0</v>
      </c>
      <c r="D24" s="7">
        <f>SUMIFS(MonFoodTipout,Sample!MonAMPM,D21,Sample!MonJobCode,"Bartender")</f>
        <v>0</v>
      </c>
      <c r="E24" s="7">
        <f ca="1">SUMIFS(MonHostTipout,Sample!MonJobCode,"Bartender",Sample!MonAMPM,E21)</f>
        <v>0</v>
      </c>
      <c r="F24" s="7">
        <f ca="1">SUMIFS(MonHostTipout,Sample!MonJobCode,"Bartender",Sample!MonAMPM,F21)</f>
        <v>-14.64</v>
      </c>
      <c r="G24" s="7" t="s">
        <v>37</v>
      </c>
      <c r="N24" s="66">
        <f>SUMIFS(Sample!WedTips,Sample!WedAMPM,N21,Sample!WedJobCode,N20)</f>
        <v>187</v>
      </c>
      <c r="O24" s="66">
        <f>SUMIFS(Sample!WedTips,Sample!WedAMPM,O21,Sample!WedJobCode,O20)</f>
        <v>542</v>
      </c>
      <c r="P24" s="7">
        <f>SUMIFS(WedFoodTipout,Sample!WedAMPM,P21,Sample!WedJobCode,"Bartender")</f>
        <v>0</v>
      </c>
      <c r="Q24" s="7">
        <f ca="1">SUMIFS(WedFoodTipout,Sample!WedAMPM,Q21,Sample!WedJobCode,"Bartender")</f>
        <v>-20</v>
      </c>
      <c r="R24" s="7">
        <f ca="1">SUMIFS(WedHostTipout,Sample!WedJobCode,"Bartender",Sample!WedAMPM,R21)</f>
        <v>-14.4</v>
      </c>
      <c r="S24" s="7">
        <f ca="1">SUMIFS(WedHostTipout,Sample!WedJobCode,"Bartender",Sample!WedAMPM,S21)</f>
        <v>-25.28</v>
      </c>
      <c r="T24" s="7" t="s">
        <v>37</v>
      </c>
      <c r="AA24" s="66">
        <f>SUMIFS(Sample!FriTips,Sample!FriAMPM,AA21,Sample!FriJobCode,AA20)</f>
        <v>414</v>
      </c>
      <c r="AB24" s="66">
        <f>SUMIFS(Sample!FriTips,Sample!FriAMPM,AB21,Sample!FriJobCode,AB20)</f>
        <v>361</v>
      </c>
      <c r="AC24" s="7">
        <f>SUMIFS(FriFoodTipout,Sample!FriAMPM,AC21,Sample!FriJobCode,"Bartender")</f>
        <v>0</v>
      </c>
      <c r="AD24" s="7">
        <f ca="1">SUMIFS(FriFoodTipout,Sample!FriAMPM,AD21,Sample!FriJobCode,"Bartender")</f>
        <v>-7.18</v>
      </c>
      <c r="AE24" s="7">
        <f ca="1">SUMIFS(FriHostTipout,Sample!FriJobCode,"Bartender",Sample!FriAMPM,AE21)</f>
        <v>0</v>
      </c>
      <c r="AF24" s="7">
        <f ca="1">SUMIFS(FriHostTipout,Sample!FriJobCode,"Bartender",Sample!FriAMPM,AF21)</f>
        <v>-9.39</v>
      </c>
      <c r="AG24" s="7" t="s">
        <v>37</v>
      </c>
      <c r="AN24" s="66">
        <f>SUMIFS(Sample!SunTips,Sample!SunAMPM,AN21,Sample!SunJobCode,AN20)</f>
        <v>241</v>
      </c>
      <c r="AO24" s="66">
        <f>SUMIFS(Sample!SunTips,Sample!SunAMPM,AO21,Sample!SunJobCode,AO20)</f>
        <v>250</v>
      </c>
      <c r="AP24" s="7">
        <f ca="1">SUMIFS(SunFoodTipout,Sample!SunAMPM,AP21,Sample!SunJobCode,"Bartender")</f>
        <v>-18</v>
      </c>
      <c r="AQ24" s="7">
        <f ca="1">SUMIFS(SunFoodTipout,Sample!SunAMPM,AQ21,Sample!SunJobCode,"Bartender")</f>
        <v>-17.940000000000001</v>
      </c>
      <c r="AR24" s="7">
        <f ca="1">SUMIFS(SunHostTipout,Sample!SunJobCode,"Bartender",Sample!SunAMPM,AR21)</f>
        <v>0</v>
      </c>
      <c r="AS24" s="7">
        <f ca="1">SUMIFS(SunHostTipout,Sample!SunJobCode,"Bartender",Sample!SunAMPM,AS21)</f>
        <v>0</v>
      </c>
      <c r="AT24" s="7" t="s">
        <v>37</v>
      </c>
    </row>
    <row r="25" spans="1:52" x14ac:dyDescent="0.2">
      <c r="A25" s="7">
        <f>A23/A22</f>
        <v>0.375</v>
      </c>
      <c r="B25" s="13">
        <f>B23/B22</f>
        <v>3</v>
      </c>
      <c r="C25" s="7">
        <f>IFERROR(C23/C22,0)</f>
        <v>0</v>
      </c>
      <c r="D25" s="7">
        <f>IFERROR(D23/D22,0)</f>
        <v>0</v>
      </c>
      <c r="E25" s="7">
        <f ca="1">IFERROR(E23/E22,0)</f>
        <v>0</v>
      </c>
      <c r="F25" s="7">
        <f ca="1">IFERROR(F23/F22,0)</f>
        <v>7.0180000000000007</v>
      </c>
      <c r="G25" s="7" t="s">
        <v>38</v>
      </c>
      <c r="N25" s="7">
        <f>N23/N22</f>
        <v>2.5425</v>
      </c>
      <c r="O25" s="13">
        <f>O23/O22</f>
        <v>4.3246153846153845</v>
      </c>
      <c r="P25" s="7">
        <f>IFERROR(P23/P22,0)</f>
        <v>0</v>
      </c>
      <c r="Q25" s="7">
        <f ca="1">IFERROR(Q23/Q22,0)</f>
        <v>13.734999999999999</v>
      </c>
      <c r="R25" s="7">
        <f ca="1">IFERROR(R23/R22,0)</f>
        <v>6.0116666666666667</v>
      </c>
      <c r="S25" s="7">
        <f ca="1">IFERROR(S23/S22,0)</f>
        <v>10.248333333333335</v>
      </c>
      <c r="T25" s="7" t="s">
        <v>38</v>
      </c>
      <c r="AA25" s="7">
        <f>AA23/AA22</f>
        <v>2.5631249999999999</v>
      </c>
      <c r="AB25" s="13">
        <f>AB23/AB22</f>
        <v>3</v>
      </c>
      <c r="AC25" s="7">
        <f>IFERROR(AC23/AC22,0)</f>
        <v>0</v>
      </c>
      <c r="AD25" s="7">
        <f ca="1">IFERROR(AD23/AD22,0)</f>
        <v>9.4166666666666661</v>
      </c>
      <c r="AE25" s="7">
        <f ca="1">IFERROR(AE23/AE22,0)</f>
        <v>0</v>
      </c>
      <c r="AF25" s="7">
        <f ca="1">IFERROR(AF23/AF22,0)</f>
        <v>8.0083333333333329</v>
      </c>
      <c r="AG25" s="7" t="s">
        <v>38</v>
      </c>
      <c r="AN25" s="7">
        <f>AN23/AN22</f>
        <v>0.375</v>
      </c>
      <c r="AO25" s="13">
        <f>AO23/AO22</f>
        <v>3</v>
      </c>
      <c r="AP25" s="7">
        <f ca="1">IFERROR(AP23/AP22,0)</f>
        <v>5.333333333333333</v>
      </c>
      <c r="AQ25" s="7">
        <f ca="1">IFERROR(AQ23/AQ22,0)</f>
        <v>6.12</v>
      </c>
      <c r="AR25" s="7">
        <f ca="1">IFERROR(AR23/AR22,0)</f>
        <v>0</v>
      </c>
      <c r="AS25" s="7">
        <f ca="1">IFERROR(AS23/AS22,0)</f>
        <v>0</v>
      </c>
      <c r="AT25" s="7" t="s">
        <v>38</v>
      </c>
    </row>
    <row r="26" spans="1:52" x14ac:dyDescent="0.2">
      <c r="A26" s="7">
        <f>A24/A22</f>
        <v>30.125</v>
      </c>
      <c r="B26" s="13">
        <f>B24/B22</f>
        <v>31.25</v>
      </c>
      <c r="C26" s="7">
        <f>C24/A22</f>
        <v>0</v>
      </c>
      <c r="D26" s="7">
        <f>D24/B22</f>
        <v>0</v>
      </c>
      <c r="E26" s="7">
        <f ca="1">E24/A22</f>
        <v>0</v>
      </c>
      <c r="F26" s="7">
        <f ca="1">F24/B22</f>
        <v>-1.83</v>
      </c>
      <c r="G26" s="7" t="s">
        <v>39</v>
      </c>
      <c r="N26" s="7">
        <f>N24/N22</f>
        <v>23.375</v>
      </c>
      <c r="O26" s="13">
        <f>O24/O22</f>
        <v>41.692307692307693</v>
      </c>
      <c r="P26" s="7">
        <f>P24/N22</f>
        <v>0</v>
      </c>
      <c r="Q26" s="7">
        <f ca="1">Q24/O22</f>
        <v>-1.5384615384615385</v>
      </c>
      <c r="R26" s="7">
        <f ca="1">R24/N22</f>
        <v>-1.8</v>
      </c>
      <c r="S26" s="7">
        <f ca="1">S24/O22</f>
        <v>-1.9446153846153846</v>
      </c>
      <c r="T26" s="7" t="s">
        <v>39</v>
      </c>
      <c r="AA26" s="7">
        <f>AA24/AA22</f>
        <v>25.875</v>
      </c>
      <c r="AB26" s="13">
        <f>AB24/AB22</f>
        <v>25.785714285714285</v>
      </c>
      <c r="AC26" s="7">
        <f>AC24/AA22</f>
        <v>0</v>
      </c>
      <c r="AD26" s="7">
        <f ca="1">AD24/AB22</f>
        <v>-0.51285714285714279</v>
      </c>
      <c r="AE26" s="7">
        <f ca="1">AE24/AA22</f>
        <v>0</v>
      </c>
      <c r="AF26" s="7">
        <f ca="1">AF24/AB22</f>
        <v>-0.67071428571428571</v>
      </c>
      <c r="AG26" s="7" t="s">
        <v>39</v>
      </c>
      <c r="AN26" s="7">
        <f>AN24/AN22</f>
        <v>30.125</v>
      </c>
      <c r="AO26" s="13">
        <f>AO24/AO22</f>
        <v>31.25</v>
      </c>
      <c r="AP26" s="7">
        <f ca="1">AP24/AN22</f>
        <v>-2.25</v>
      </c>
      <c r="AQ26" s="7">
        <f ca="1">AQ24/AO22</f>
        <v>-2.2425000000000002</v>
      </c>
      <c r="AR26" s="7">
        <f ca="1">AR24/AN22</f>
        <v>0</v>
      </c>
      <c r="AS26" s="7">
        <f ca="1">AS24/AO22</f>
        <v>0</v>
      </c>
      <c r="AT26" s="7" t="s">
        <v>39</v>
      </c>
    </row>
    <row r="27" spans="1:52" ht="21" x14ac:dyDescent="0.25">
      <c r="A27" s="69">
        <f>A1+1</f>
        <v>45325</v>
      </c>
      <c r="B27" s="81" t="str">
        <f>TEXT(A27,"DDDD")</f>
        <v>Saturday</v>
      </c>
      <c r="C27" s="82"/>
      <c r="D27" s="82"/>
      <c r="E27" s="82"/>
      <c r="F27" s="82"/>
      <c r="G27" s="82"/>
      <c r="H27" s="82"/>
      <c r="I27" s="82"/>
      <c r="J27" s="83"/>
      <c r="K27" s="6">
        <v>0.03</v>
      </c>
      <c r="L27" s="6">
        <v>0.02</v>
      </c>
      <c r="M27" s="6">
        <v>0.01</v>
      </c>
      <c r="N27" s="70">
        <f>A1+3</f>
        <v>45327</v>
      </c>
      <c r="O27" s="84" t="str">
        <f>TEXT(N27,"DDDD")</f>
        <v>Monday</v>
      </c>
      <c r="P27" s="85"/>
      <c r="Q27" s="85"/>
      <c r="R27" s="85"/>
      <c r="S27" s="85"/>
      <c r="T27" s="85"/>
      <c r="U27" s="85"/>
      <c r="V27" s="85"/>
      <c r="W27" s="86"/>
      <c r="X27" s="6">
        <v>0.03</v>
      </c>
      <c r="Y27" s="6">
        <v>0.02</v>
      </c>
      <c r="Z27" s="6">
        <v>0.01</v>
      </c>
      <c r="AA27" s="71">
        <f>A1+5</f>
        <v>45329</v>
      </c>
      <c r="AB27" s="75" t="str">
        <f>TEXT(AA27,"DDDD")</f>
        <v>Wednesday</v>
      </c>
      <c r="AC27" s="76"/>
      <c r="AD27" s="76"/>
      <c r="AE27" s="76"/>
      <c r="AF27" s="76"/>
      <c r="AG27" s="76"/>
      <c r="AH27" s="76"/>
      <c r="AI27" s="76"/>
      <c r="AJ27" s="77"/>
      <c r="AK27" s="6">
        <v>0.03</v>
      </c>
      <c r="AL27" s="6">
        <v>0.02</v>
      </c>
      <c r="AM27" s="6">
        <v>0.01</v>
      </c>
      <c r="AN27" s="87" t="s">
        <v>40</v>
      </c>
      <c r="AO27" s="87"/>
      <c r="AP27" s="87"/>
      <c r="AQ27" s="87"/>
      <c r="AR27" s="87"/>
      <c r="AS27" s="87"/>
      <c r="AT27" s="87"/>
      <c r="AU27" s="87"/>
    </row>
    <row r="28" spans="1:52" ht="19" x14ac:dyDescent="0.25">
      <c r="A28" s="33" t="s">
        <v>0</v>
      </c>
      <c r="B28" s="34" t="s">
        <v>1</v>
      </c>
      <c r="C28" s="33" t="s">
        <v>2</v>
      </c>
      <c r="D28" s="33" t="s">
        <v>3</v>
      </c>
      <c r="E28" s="33" t="s">
        <v>4</v>
      </c>
      <c r="F28" s="33" t="s">
        <v>5</v>
      </c>
      <c r="G28" s="35" t="s">
        <v>6</v>
      </c>
      <c r="H28" s="33" t="s">
        <v>7</v>
      </c>
      <c r="I28" s="33" t="s">
        <v>8</v>
      </c>
      <c r="J28" s="33" t="s">
        <v>9</v>
      </c>
      <c r="K28" s="7" t="s">
        <v>10</v>
      </c>
      <c r="L28" s="7" t="s">
        <v>11</v>
      </c>
      <c r="M28" s="7" t="s">
        <v>12</v>
      </c>
      <c r="N28" s="39" t="s">
        <v>0</v>
      </c>
      <c r="O28" s="40" t="s">
        <v>1</v>
      </c>
      <c r="P28" s="39" t="s">
        <v>2</v>
      </c>
      <c r="Q28" s="39" t="s">
        <v>3</v>
      </c>
      <c r="R28" s="39" t="s">
        <v>4</v>
      </c>
      <c r="S28" s="39" t="s">
        <v>5</v>
      </c>
      <c r="T28" s="41" t="s">
        <v>6</v>
      </c>
      <c r="U28" s="39" t="s">
        <v>7</v>
      </c>
      <c r="V28" s="39" t="s">
        <v>8</v>
      </c>
      <c r="W28" s="39" t="s">
        <v>9</v>
      </c>
      <c r="X28" s="7" t="s">
        <v>10</v>
      </c>
      <c r="Y28" s="7" t="s">
        <v>11</v>
      </c>
      <c r="Z28" s="7" t="s">
        <v>12</v>
      </c>
      <c r="AA28" s="26" t="s">
        <v>0</v>
      </c>
      <c r="AB28" s="27" t="s">
        <v>1</v>
      </c>
      <c r="AC28" s="26" t="s">
        <v>2</v>
      </c>
      <c r="AD28" s="26" t="s">
        <v>3</v>
      </c>
      <c r="AE28" s="26" t="s">
        <v>4</v>
      </c>
      <c r="AF28" s="26" t="s">
        <v>5</v>
      </c>
      <c r="AG28" s="28" t="s">
        <v>6</v>
      </c>
      <c r="AH28" s="26" t="s">
        <v>7</v>
      </c>
      <c r="AI28" s="26" t="s">
        <v>8</v>
      </c>
      <c r="AJ28" s="26" t="s">
        <v>9</v>
      </c>
      <c r="AK28" s="7" t="s">
        <v>10</v>
      </c>
      <c r="AL28" s="7" t="s">
        <v>11</v>
      </c>
      <c r="AM28" s="7" t="s">
        <v>12</v>
      </c>
      <c r="AN28" s="14" t="s">
        <v>0</v>
      </c>
      <c r="AO28" s="15" t="s">
        <v>1</v>
      </c>
      <c r="AP28" s="14" t="s">
        <v>41</v>
      </c>
      <c r="AQ28" s="14" t="s">
        <v>42</v>
      </c>
      <c r="AR28" s="14" t="s">
        <v>3</v>
      </c>
      <c r="AS28" s="14" t="s">
        <v>4</v>
      </c>
      <c r="AT28" s="14" t="s">
        <v>5</v>
      </c>
      <c r="AU28" s="14" t="s">
        <v>43</v>
      </c>
    </row>
    <row r="29" spans="1:52" ht="16" x14ac:dyDescent="0.2">
      <c r="A29" s="11" t="s">
        <v>59</v>
      </c>
      <c r="B29" s="12">
        <v>8</v>
      </c>
      <c r="C29" s="11">
        <v>165</v>
      </c>
      <c r="D29" s="11">
        <v>835</v>
      </c>
      <c r="E29" s="11">
        <v>400</v>
      </c>
      <c r="F29" s="2">
        <f>D29+E29</f>
        <v>1235</v>
      </c>
      <c r="G29" s="11" t="s">
        <v>14</v>
      </c>
      <c r="H29" s="11" t="s">
        <v>15</v>
      </c>
      <c r="I29" s="2">
        <f t="shared" ref="I29" ca="1" si="208">IF(H29="Bartender",(HLOOKUP(G29,TuesFoodTable,6)*B29)+(HLOOKUP(G29,TuesHostTable,6)*B29)+K29,SUM(K29,L29,M29))</f>
        <v>-3.3499999999999996</v>
      </c>
      <c r="J29" s="2">
        <f t="shared" ref="J29" ca="1" si="209">IFERROR(IF(H29="Bartender",(HLOOKUP(G29,TuesBarTable,6)*B29)+I29,C29+I29),"")</f>
        <v>161.65</v>
      </c>
      <c r="K29" s="7">
        <f t="shared" ref="K29" si="210">IF(H29="Server",-E29*AlcoholTipPercentage,0)+IF(H29="Bartender",HLOOKUP(G29,TuesBarTable,5)*B29)</f>
        <v>9</v>
      </c>
      <c r="L29" s="7" cm="1">
        <f t="array" ref="L29">IFERROR(_xlfn.IFS(HLOOKUP(G29,TuesFoodTable,2)=0,0,OR(H29="Server",H29="Bartender"),-D29*FoodTipPercentage,OR(H29="Expo",H29="Food Runner"),HLOOKUP(G29,TuesFoodTable,5)*B29,H29="Host",0),"")</f>
        <v>0</v>
      </c>
      <c r="M29" s="7" cm="1">
        <f t="array" aca="1" ref="M29" ca="1">IFERROR(_xlfn.IFS(HLOOKUP(G29,TuesHostTable,2)=0,0,OR(H29="Server",H29="Bartender"),-F29*HostTipPercentage,H29="Host",HLOOKUP(G29,TuesHostTable,5)*B29,OR(H29="Expo",H29="Food Runner"),0),"")</f>
        <v>-12.35</v>
      </c>
      <c r="N29" s="16" t="s">
        <v>59</v>
      </c>
      <c r="O29" s="17">
        <v>8</v>
      </c>
      <c r="P29" s="16">
        <v>250</v>
      </c>
      <c r="Q29" s="16">
        <v>897</v>
      </c>
      <c r="R29" s="16">
        <v>567</v>
      </c>
      <c r="S29" s="42">
        <f>Q29+R29</f>
        <v>1464</v>
      </c>
      <c r="T29" s="16" t="s">
        <v>14</v>
      </c>
      <c r="U29" s="16" t="s">
        <v>15</v>
      </c>
      <c r="V29" s="42">
        <f t="shared" ref="V29" ca="1" si="211">IF(U29="Bartender",(HLOOKUP(T29,ThursFoodTable,6)*O29)+(HLOOKUP(T29,ThursHostTable,6)*O29)+X29,SUM(X29,Y29,Z29))</f>
        <v>-2.6400000000000006</v>
      </c>
      <c r="W29" s="42">
        <f t="shared" ref="W29" ca="1" si="212">IFERROR(IF(U29="Bartender",(HLOOKUP(T29,ThursBarTable,6)*O29)+V29,P29+V29),"")</f>
        <v>247.36</v>
      </c>
      <c r="X29" s="7">
        <f t="shared" ref="X29" si="213">IF(U29="Server",-R29*AlcoholTipPercentage,0)+IF(U29="Bartender",HLOOKUP(T29,ThursBarTable,5)*O29)</f>
        <v>12</v>
      </c>
      <c r="Y29" s="7" cm="1">
        <f t="array" ref="Y29">IFERROR(_xlfn.IFS(HLOOKUP(T29,ThursFoodTable,2)=0,0,OR(U29="Server",U29="Bartender"),-Q29*FoodTipPercentage,OR(U29="Expo",U29="Food Runner"),HLOOKUP(T29,ThursFoodTable,5)*O29,U29="Host",0),"")</f>
        <v>0</v>
      </c>
      <c r="Z29" s="7" cm="1">
        <f t="array" aca="1" ref="Z29" ca="1">IFERROR(_xlfn.IFS(HLOOKUP(T29,ThursHostTable,2)=0,0,OR(U29="Server",U29="Bartender"),-S29*HostTipPercentage,U29="Host",HLOOKUP(T29,ThursHostTable,5)*O29,OR(U29="Expo",U29="Food Runner"),0),"")</f>
        <v>-14.64</v>
      </c>
      <c r="AA29" s="9" t="s">
        <v>55</v>
      </c>
      <c r="AB29" s="10">
        <v>7</v>
      </c>
      <c r="AC29" s="9">
        <v>204.24</v>
      </c>
      <c r="AD29" s="9">
        <v>535.14</v>
      </c>
      <c r="AE29" s="9">
        <v>352.52</v>
      </c>
      <c r="AF29" s="38">
        <f>AD29+AE29</f>
        <v>887.66</v>
      </c>
      <c r="AG29" s="9"/>
      <c r="AH29" s="9"/>
      <c r="AI29" s="38">
        <f t="shared" ref="AI29" si="214">IF(AH29="Bartender",(HLOOKUP(AG29,SatFoodTable,6)*AB29)+(HLOOKUP(AG29,SatHostTable,6)*AB29)+AK29,SUM(AK29,AL29,AM29))</f>
        <v>0</v>
      </c>
      <c r="AJ29" s="38">
        <f t="shared" ref="AJ29" si="215">IFERROR(IF(AH29="Bartender",(HLOOKUP(AG29,SatBarTable,6)*AB29)+AI29,AC29+AI29),"")</f>
        <v>204.24</v>
      </c>
      <c r="AK29" s="7">
        <f t="shared" ref="AK29" si="216">IF(AH29="Server",-AE29*AlcoholTipPercentage,0)+IF(AH29="Bartender",HLOOKUP(AG29,SatBarTable,5)*AB29)</f>
        <v>0</v>
      </c>
      <c r="AL29" s="7" t="str" cm="1">
        <f t="array" ref="AL29">IFERROR(_xlfn.IFS(HLOOKUP(AG29,SatFoodTable,2)=0,0,OR(AH29="Server",AH29="Bartender"),-AD29*FoodTipPercentage,OR(AH29="Expo",AH29="Food Runner"),HLOOKUP(AG29,SatFoodTable,5)*AB29,AH29="Host",0),"")</f>
        <v/>
      </c>
      <c r="AM29" s="7" t="str" cm="1">
        <f t="array" ref="AM29">IFERROR(_xlfn.IFS(HLOOKUP(AG29,SatHostTable,2)=0,0,OR(AH29="Server",AH29="Bartender"),-AF29*HostTipPercentage,AH29="Host",HLOOKUP(AG29,SatHostTable,5)*AB29,OR(AH29="Expo",AH29="Food Runner"),0),"")</f>
        <v/>
      </c>
      <c r="AN29" s="18" t="s">
        <v>63</v>
      </c>
      <c r="AO29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37</v>
      </c>
      <c r="AP29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1017.1807692307692</v>
      </c>
      <c r="AQ29" s="7">
        <f ca="1">IFERROR(Table424789101112131418212325272325[[#This Row],[Weekly Tips]]/Table424789101112131418212325272325[[#This Row],[Hours]],0)</f>
        <v>27.491372141372143</v>
      </c>
      <c r="AR29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3090</v>
      </c>
      <c r="AS29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2584</v>
      </c>
      <c r="AT29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5674</v>
      </c>
      <c r="AU29" s="7" t="s">
        <v>30</v>
      </c>
    </row>
    <row r="30" spans="1:52" ht="16" x14ac:dyDescent="0.2">
      <c r="A30" s="11" t="s">
        <v>58</v>
      </c>
      <c r="B30" s="12">
        <v>7</v>
      </c>
      <c r="C30" s="11">
        <v>130</v>
      </c>
      <c r="D30" s="11">
        <v>758</v>
      </c>
      <c r="E30" s="11">
        <v>300</v>
      </c>
      <c r="F30" s="2">
        <f t="shared" ref="F30:F45" si="217">E30+D30</f>
        <v>1058</v>
      </c>
      <c r="G30" s="11" t="s">
        <v>14</v>
      </c>
      <c r="H30" s="11" t="s">
        <v>18</v>
      </c>
      <c r="I30" s="2">
        <f t="shared" ref="I30" ca="1" si="218">IF(H30="Bartender",(HLOOKUP(G30,TuesFoodTable,6)*B30)+(HLOOKUP(G30,TuesHostTable,6)*B30)+K30,SUM(K30,L30,M30))</f>
        <v>-19.579999999999998</v>
      </c>
      <c r="J30" s="2">
        <f t="shared" ref="J30" ca="1" si="219">IFERROR(IF(H30="Bartender",(HLOOKUP(G30,TuesBarTable,6)*B30)+I30,C30+I30),"")</f>
        <v>110.42</v>
      </c>
      <c r="K30" s="7">
        <f t="shared" ref="K30" si="220">IF(H30="Server",-E30*AlcoholTipPercentage,0)+IF(H30="Bartender",HLOOKUP(G30,TuesBarTable,5)*B30)</f>
        <v>-9</v>
      </c>
      <c r="L30" s="7" cm="1">
        <f t="array" ref="L30">IFERROR(_xlfn.IFS(HLOOKUP(G30,TuesFoodTable,2)=0,0,OR(H30="Server",H30="Bartender"),-D30*FoodTipPercentage,OR(H30="Expo",H30="Food Runner"),HLOOKUP(G30,TuesFoodTable,5)*B30,H30="Host",0),"")</f>
        <v>0</v>
      </c>
      <c r="M30" s="7" cm="1">
        <f t="array" aca="1" ref="M30" ca="1">IFERROR(_xlfn.IFS(HLOOKUP(G30,TuesHostTable,2)=0,0,OR(H30="Server",H30="Bartender"),-F30*HostTipPercentage,H30="Host",HLOOKUP(G30,TuesHostTable,5)*B30,OR(H30="Expo",H30="Food Runner"),0),"")</f>
        <v>-10.58</v>
      </c>
      <c r="N30" s="16" t="s">
        <v>61</v>
      </c>
      <c r="O30" s="17">
        <v>8</v>
      </c>
      <c r="P30" s="16">
        <v>188</v>
      </c>
      <c r="Q30" s="16">
        <v>846</v>
      </c>
      <c r="R30" s="16">
        <v>400</v>
      </c>
      <c r="S30" s="42">
        <f t="shared" ref="S30:S45" si="221">R30+Q30</f>
        <v>1246</v>
      </c>
      <c r="T30" s="16" t="s">
        <v>14</v>
      </c>
      <c r="U30" s="16" t="s">
        <v>18</v>
      </c>
      <c r="V30" s="42">
        <f t="shared" ref="V30" ca="1" si="222">IF(U30="Bartender",(HLOOKUP(T30,ThursFoodTable,6)*O30)+(HLOOKUP(T30,ThursHostTable,6)*O30)+X30,SUM(X30,Y30,Z30))</f>
        <v>-24.46</v>
      </c>
      <c r="W30" s="42">
        <f t="shared" ref="W30" ca="1" si="223">IFERROR(IF(U30="Bartender",(HLOOKUP(T30,ThursBarTable,6)*O30)+V30,P30+V30),"")</f>
        <v>163.54</v>
      </c>
      <c r="X30" s="7">
        <f t="shared" ref="X30" si="224">IF(U30="Server",-R30*AlcoholTipPercentage,0)+IF(U30="Bartender",HLOOKUP(T30,ThursBarTable,5)*O30)</f>
        <v>-12</v>
      </c>
      <c r="Y30" s="7" cm="1">
        <f t="array" ref="Y30">IFERROR(_xlfn.IFS(HLOOKUP(T30,ThursFoodTable,2)=0,0,OR(U30="Server",U30="Bartender"),-Q30*FoodTipPercentage,OR(U30="Expo",U30="Food Runner"),HLOOKUP(T30,ThursFoodTable,5)*O30,U30="Host",0),"")</f>
        <v>0</v>
      </c>
      <c r="Z30" s="7" cm="1">
        <f t="array" aca="1" ref="Z30" ca="1">IFERROR(_xlfn.IFS(HLOOKUP(T30,ThursHostTable,2)=0,0,OR(U30="Server",U30="Bartender"),-S30*HostTipPercentage,U30="Host",HLOOKUP(T30,ThursHostTable,5)*O30,OR(U30="Expo",U30="Food Runner"),0),"")</f>
        <v>-12.46</v>
      </c>
      <c r="AA30" s="9" t="s">
        <v>57</v>
      </c>
      <c r="AB30" s="10">
        <v>5</v>
      </c>
      <c r="AC30" s="9">
        <v>155.63</v>
      </c>
      <c r="AD30" s="9">
        <v>1151.51</v>
      </c>
      <c r="AE30" s="9">
        <v>514.14</v>
      </c>
      <c r="AF30" s="38">
        <f t="shared" ref="AF30:AF45" si="225">AE30+AD30</f>
        <v>1665.65</v>
      </c>
      <c r="AG30" s="9"/>
      <c r="AH30" s="9"/>
      <c r="AI30" s="38">
        <f t="shared" ref="AI30" si="226">IF(AH30="Bartender",(HLOOKUP(AG30,SatFoodTable,6)*AB30)+(HLOOKUP(AG30,SatHostTable,6)*AB30)+AK30,SUM(AK30,AL30,AM30))</f>
        <v>0</v>
      </c>
      <c r="AJ30" s="38">
        <f t="shared" ref="AJ30" si="227">IFERROR(IF(AH30="Bartender",(HLOOKUP(AG30,SatBarTable,6)*AB30)+AI30,AC30+AI30),"")</f>
        <v>155.63</v>
      </c>
      <c r="AK30" s="7">
        <f t="shared" ref="AK30" si="228">IF(AH30="Server",-AE30*AlcoholTipPercentage,0)+IF(AH30="Bartender",HLOOKUP(AG30,SatBarTable,5)*AB30)</f>
        <v>0</v>
      </c>
      <c r="AL30" s="7" t="str" cm="1">
        <f t="array" ref="AL30">IFERROR(_xlfn.IFS(HLOOKUP(AG30,SatFoodTable,2)=0,0,OR(AH30="Server",AH30="Bartender"),-AD30*FoodTipPercentage,OR(AH30="Expo",AH30="Food Runner"),HLOOKUP(AG30,SatFoodTable,5)*AB30,AH30="Host",0),"")</f>
        <v/>
      </c>
      <c r="AM30" s="7" t="str" cm="1">
        <f t="array" ref="AM30">IFERROR(_xlfn.IFS(HLOOKUP(AG30,SatHostTable,2)=0,0,OR(AH30="Server",AH30="Bartender"),-AF30*HostTipPercentage,AH30="Host",HLOOKUP(AG30,SatHostTable,5)*AB30,OR(AH30="Expo",AH30="Food Runner"),0),"")</f>
        <v/>
      </c>
      <c r="AN30" s="18" t="s">
        <v>62</v>
      </c>
      <c r="AO30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23</v>
      </c>
      <c r="AP30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287.12</v>
      </c>
      <c r="AQ30" s="7">
        <f ca="1">IFERROR(Table424789101112131418212325272325[[#This Row],[Weekly Tips]]/Table424789101112131418212325272325[[#This Row],[Hours]],0)</f>
        <v>12.483478260869566</v>
      </c>
      <c r="AR30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900</v>
      </c>
      <c r="AS30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500</v>
      </c>
      <c r="AT30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1400</v>
      </c>
    </row>
    <row r="31" spans="1:52" ht="16" x14ac:dyDescent="0.2">
      <c r="A31" s="11" t="s">
        <v>65</v>
      </c>
      <c r="B31" s="12">
        <v>6</v>
      </c>
      <c r="C31" s="11"/>
      <c r="D31" s="11"/>
      <c r="E31" s="11"/>
      <c r="F31" s="2">
        <f t="shared" si="217"/>
        <v>0</v>
      </c>
      <c r="G31" s="11" t="s">
        <v>14</v>
      </c>
      <c r="H31" s="11" t="s">
        <v>30</v>
      </c>
      <c r="I31" s="2">
        <f t="shared" ref="I31" ca="1" si="229">IF(H31="Bartender",(HLOOKUP(G31,TuesFoodTable,6)*B31)+(HLOOKUP(G31,TuesHostTable,6)*B31)+K31,SUM(K31,L31,M31))</f>
        <v>22.93</v>
      </c>
      <c r="J31" s="2">
        <f t="shared" ref="J31" ca="1" si="230">IFERROR(IF(H31="Bartender",(HLOOKUP(G31,TuesBarTable,6)*B31)+I31,C31+I31),"")</f>
        <v>22.93</v>
      </c>
      <c r="K31" s="7">
        <f t="shared" ref="K31" si="231">IF(H31="Server",-E31*AlcoholTipPercentage,0)+IF(H31="Bartender",HLOOKUP(G31,TuesBarTable,5)*B31)</f>
        <v>0</v>
      </c>
      <c r="L31" s="7" cm="1">
        <f t="array" ref="L31">IFERROR(_xlfn.IFS(HLOOKUP(G31,TuesFoodTable,2)=0,0,OR(H31="Server",H31="Bartender"),-D31*FoodTipPercentage,OR(H31="Expo",H31="Food Runner"),HLOOKUP(G31,TuesFoodTable,5)*B31,H31="Host",0),"")</f>
        <v>0</v>
      </c>
      <c r="M31" s="7" cm="1">
        <f t="array" aca="1" ref="M31" ca="1">IFERROR(_xlfn.IFS(HLOOKUP(G31,TuesHostTable,2)=0,0,OR(H31="Server",H31="Bartender"),-F31*HostTipPercentage,H31="Host",HLOOKUP(G31,TuesHostTable,5)*B31,OR(H31="Expo",H31="Food Runner"),0),"")</f>
        <v>22.93</v>
      </c>
      <c r="N31" s="16" t="s">
        <v>63</v>
      </c>
      <c r="O31" s="17">
        <v>5</v>
      </c>
      <c r="P31" s="16">
        <v>135</v>
      </c>
      <c r="Q31" s="16">
        <v>399</v>
      </c>
      <c r="R31" s="16">
        <v>400</v>
      </c>
      <c r="S31" s="42">
        <f t="shared" si="221"/>
        <v>799</v>
      </c>
      <c r="T31" s="16" t="s">
        <v>14</v>
      </c>
      <c r="U31" s="16" t="s">
        <v>30</v>
      </c>
      <c r="V31" s="42">
        <f t="shared" ref="V31" ca="1" si="232">IF(U31="Bartender",(HLOOKUP(T31,ThursFoodTable,6)*O31)+(HLOOKUP(T31,ThursHostTable,6)*O31)+X31,SUM(X31,Y31,Z31))</f>
        <v>27.1</v>
      </c>
      <c r="W31" s="42">
        <f t="shared" ref="W31" ca="1" si="233">IFERROR(IF(U31="Bartender",(HLOOKUP(T31,ThursBarTable,6)*O31)+V31,P31+V31),"")</f>
        <v>162.1</v>
      </c>
      <c r="X31" s="7">
        <f t="shared" ref="X31" si="234">IF(U31="Server",-R31*AlcoholTipPercentage,0)+IF(U31="Bartender",HLOOKUP(T31,ThursBarTable,5)*O31)</f>
        <v>0</v>
      </c>
      <c r="Y31" s="7" cm="1">
        <f t="array" ref="Y31">IFERROR(_xlfn.IFS(HLOOKUP(T31,ThursFoodTable,2)=0,0,OR(U31="Server",U31="Bartender"),-Q31*FoodTipPercentage,OR(U31="Expo",U31="Food Runner"),HLOOKUP(T31,ThursFoodTable,5)*O31,U31="Host",0),"")</f>
        <v>0</v>
      </c>
      <c r="Z31" s="7" cm="1">
        <f t="array" aca="1" ref="Z31" ca="1">IFERROR(_xlfn.IFS(HLOOKUP(T31,ThursHostTable,2)=0,0,OR(U31="Server",U31="Bartender"),-S31*HostTipPercentage,U31="Host",HLOOKUP(T31,ThursHostTable,5)*O31,OR(U31="Expo",U31="Food Runner"),0),"")</f>
        <v>27.1</v>
      </c>
      <c r="AA31" s="9" t="s">
        <v>64</v>
      </c>
      <c r="AB31" s="10">
        <v>3</v>
      </c>
      <c r="AC31" s="9"/>
      <c r="AD31" s="9"/>
      <c r="AE31" s="9"/>
      <c r="AF31" s="38">
        <f t="shared" si="225"/>
        <v>0</v>
      </c>
      <c r="AG31" s="9"/>
      <c r="AH31" s="9"/>
      <c r="AI31" s="38">
        <f t="shared" ref="AI31" si="235">IF(AH31="Bartender",(HLOOKUP(AG31,SatFoodTable,6)*AB31)+(HLOOKUP(AG31,SatHostTable,6)*AB31)+AK31,SUM(AK31,AL31,AM31))</f>
        <v>0</v>
      </c>
      <c r="AJ31" s="38">
        <f t="shared" ref="AJ31" si="236">IFERROR(IF(AH31="Bartender",(HLOOKUP(AG31,SatBarTable,6)*AB31)+AI31,AC31+AI31),"")</f>
        <v>0</v>
      </c>
      <c r="AK31" s="7">
        <f t="shared" ref="AK31" si="237">IF(AH31="Server",-AE31*AlcoholTipPercentage,0)+IF(AH31="Bartender",HLOOKUP(AG31,SatBarTable,5)*AB31)</f>
        <v>0</v>
      </c>
      <c r="AL31" s="7" t="str" cm="1">
        <f t="array" ref="AL31">IFERROR(_xlfn.IFS(HLOOKUP(AG31,SatFoodTable,2)=0,0,OR(AH31="Server",AH31="Bartender"),-AD31*FoodTipPercentage,OR(AH31="Expo",AH31="Food Runner"),HLOOKUP(AG31,SatFoodTable,5)*AB31,AH31="Host",0),"")</f>
        <v/>
      </c>
      <c r="AM31" s="7" t="str" cm="1">
        <f t="array" ref="AM31">IFERROR(_xlfn.IFS(HLOOKUP(AG31,SatHostTable,2)=0,0,OR(AH31="Server",AH31="Bartender"),-AF31*HostTipPercentage,AH31="Host",HLOOKUP(AG31,SatHostTable,5)*AB31,OR(AH31="Expo",AH31="Food Runner"),0),"")</f>
        <v/>
      </c>
      <c r="AN31" s="18" t="s">
        <v>61</v>
      </c>
      <c r="AO31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57</v>
      </c>
      <c r="AP31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1502.1399999999999</v>
      </c>
      <c r="AQ31" s="7">
        <f ca="1">IFERROR(Table424789101112131418212325272325[[#This Row],[Weekly Tips]]/Table424789101112131418212325272325[[#This Row],[Hours]],0)</f>
        <v>26.353333333333332</v>
      </c>
      <c r="AR31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6130</v>
      </c>
      <c r="AS31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3677</v>
      </c>
      <c r="AT31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9807</v>
      </c>
    </row>
    <row r="32" spans="1:52" ht="16" x14ac:dyDescent="0.2">
      <c r="A32" s="11" t="s">
        <v>65</v>
      </c>
      <c r="B32" s="12">
        <v>6</v>
      </c>
      <c r="C32" s="11"/>
      <c r="D32" s="11"/>
      <c r="E32" s="11"/>
      <c r="F32" s="2">
        <f t="shared" si="217"/>
        <v>0</v>
      </c>
      <c r="G32" s="11" t="s">
        <v>20</v>
      </c>
      <c r="H32" s="11" t="s">
        <v>30</v>
      </c>
      <c r="I32" s="2">
        <f t="shared" ref="I32" ca="1" si="238">IF(H32="Bartender",(HLOOKUP(G32,TuesFoodTable,6)*B32)+(HLOOKUP(G32,TuesHostTable,6)*B32)+K32,SUM(K32,L32,M32))</f>
        <v>54.010000000000005</v>
      </c>
      <c r="J32" s="2">
        <f t="shared" ref="J32" ca="1" si="239">IFERROR(IF(H32="Bartender",(HLOOKUP(G32,TuesBarTable,6)*B32)+I32,C32+I32),"")</f>
        <v>54.010000000000005</v>
      </c>
      <c r="K32" s="7">
        <f t="shared" ref="K32" si="240">IF(H32="Server",-E32*AlcoholTipPercentage,0)+IF(H32="Bartender",HLOOKUP(G32,TuesBarTable,5)*B32)</f>
        <v>0</v>
      </c>
      <c r="L32" s="7" cm="1">
        <f t="array" ref="L32">IFERROR(_xlfn.IFS(HLOOKUP(G32,TuesFoodTable,2)=0,0,OR(H32="Server",H32="Bartender"),-D32*FoodTipPercentage,OR(H32="Expo",H32="Food Runner"),HLOOKUP(G32,TuesFoodTable,5)*B32,H32="Host",0),"")</f>
        <v>0</v>
      </c>
      <c r="M32" s="7" cm="1">
        <f t="array" aca="1" ref="M32" ca="1">IFERROR(_xlfn.IFS(HLOOKUP(G32,TuesHostTable,2)=0,0,OR(H32="Server",H32="Bartender"),-F32*HostTipPercentage,H32="Host",HLOOKUP(G32,TuesHostTable,5)*B32,OR(H32="Expo",H32="Food Runner"),0),"")</f>
        <v>54.010000000000005</v>
      </c>
      <c r="N32" s="16" t="s">
        <v>57</v>
      </c>
      <c r="O32" s="17">
        <v>7</v>
      </c>
      <c r="P32" s="16">
        <v>351</v>
      </c>
      <c r="Q32" s="16">
        <v>350</v>
      </c>
      <c r="R32" s="16">
        <v>345</v>
      </c>
      <c r="S32" s="42">
        <f t="shared" si="221"/>
        <v>695</v>
      </c>
      <c r="T32" s="16" t="s">
        <v>20</v>
      </c>
      <c r="U32" s="16" t="s">
        <v>30</v>
      </c>
      <c r="V32" s="42">
        <f t="shared" ref="V32" ca="1" si="241">IF(U32="Bartender",(HLOOKUP(T32,ThursFoodTable,6)*O32)+(HLOOKUP(T32,ThursHostTable,6)*O32)+X32,SUM(X32,Y32,Z32))</f>
        <v>14.370000000000001</v>
      </c>
      <c r="W32" s="42">
        <f t="shared" ref="W32" ca="1" si="242">IFERROR(IF(U32="Bartender",(HLOOKUP(T32,ThursBarTable,6)*O32)+V32,P32+V32),"")</f>
        <v>365.37</v>
      </c>
      <c r="X32" s="7">
        <f t="shared" ref="X32" si="243">IF(U32="Server",-R32*AlcoholTipPercentage,0)+IF(U32="Bartender",HLOOKUP(T32,ThursBarTable,5)*O32)</f>
        <v>0</v>
      </c>
      <c r="Y32" s="7" cm="1">
        <f t="array" aca="1" ref="Y32" ca="1">IFERROR(_xlfn.IFS(HLOOKUP(T32,ThursFoodTable,2)=0,0,OR(U32="Server",U32="Bartender"),-Q32*FoodTipPercentage,OR(U32="Expo",U32="Food Runner"),HLOOKUP(T32,ThursFoodTable,5)*O32,U32="Host",0),"")</f>
        <v>0</v>
      </c>
      <c r="Z32" s="7" cm="1">
        <f t="array" aca="1" ref="Z32" ca="1">IFERROR(_xlfn.IFS(HLOOKUP(T32,ThursHostTable,2)=0,0,OR(U32="Server",U32="Bartender"),-S32*HostTipPercentage,U32="Host",HLOOKUP(T32,ThursHostTable,5)*O32,OR(U32="Expo",U32="Food Runner"),0),"")</f>
        <v>14.370000000000001</v>
      </c>
      <c r="AA32" s="9" t="s">
        <v>59</v>
      </c>
      <c r="AB32" s="10">
        <v>6</v>
      </c>
      <c r="AC32" s="9">
        <v>165</v>
      </c>
      <c r="AD32" s="9">
        <v>400</v>
      </c>
      <c r="AE32" s="9">
        <v>450</v>
      </c>
      <c r="AF32" s="38">
        <f t="shared" si="225"/>
        <v>850</v>
      </c>
      <c r="AG32" s="9"/>
      <c r="AH32" s="9"/>
      <c r="AI32" s="38">
        <f t="shared" ref="AI32" si="244">IF(AH32="Bartender",(HLOOKUP(AG32,SatFoodTable,6)*AB32)+(HLOOKUP(AG32,SatHostTable,6)*AB32)+AK32,SUM(AK32,AL32,AM32))</f>
        <v>0</v>
      </c>
      <c r="AJ32" s="38">
        <f t="shared" ref="AJ32" si="245">IFERROR(IF(AH32="Bartender",(HLOOKUP(AG32,SatBarTable,6)*AB32)+AI32,AC32+AI32),"")</f>
        <v>165</v>
      </c>
      <c r="AK32" s="7">
        <f t="shared" ref="AK32" si="246">IF(AH32="Server",-AE32*AlcoholTipPercentage,0)+IF(AH32="Bartender",HLOOKUP(AG32,SatBarTable,5)*AB32)</f>
        <v>0</v>
      </c>
      <c r="AL32" s="7" t="str" cm="1">
        <f t="array" ref="AL32">IFERROR(_xlfn.IFS(HLOOKUP(AG32,SatFoodTable,2)=0,0,OR(AH32="Server",AH32="Bartender"),-AD32*FoodTipPercentage,OR(AH32="Expo",AH32="Food Runner"),HLOOKUP(AG32,SatFoodTable,5)*AB32,AH32="Host",0),"")</f>
        <v/>
      </c>
      <c r="AM32" s="7" t="str" cm="1">
        <f t="array" ref="AM32">IFERROR(_xlfn.IFS(HLOOKUP(AG32,SatHostTable,2)=0,0,OR(AH32="Server",AH32="Bartender"),-AF32*HostTipPercentage,AH32="Host",HLOOKUP(AG32,SatHostTable,5)*AB32,OR(AH32="Expo",AH32="Food Runner"),0),"")</f>
        <v/>
      </c>
      <c r="AN32" s="18" t="s">
        <v>59</v>
      </c>
      <c r="AO32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59</v>
      </c>
      <c r="AP32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1675.8000000000002</v>
      </c>
      <c r="AQ32" s="7">
        <f ca="1">IFERROR(Table424789101112131418212325272325[[#This Row],[Weekly Tips]]/Table424789101112131418212325272325[[#This Row],[Hours]],0)</f>
        <v>28.403389830508477</v>
      </c>
      <c r="AR32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6185</v>
      </c>
      <c r="AS32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4512</v>
      </c>
      <c r="AT32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10697</v>
      </c>
      <c r="AU32" s="7" t="s">
        <v>26</v>
      </c>
    </row>
    <row r="33" spans="1:47" ht="16" x14ac:dyDescent="0.2">
      <c r="A33" s="11" t="s">
        <v>64</v>
      </c>
      <c r="B33" s="12">
        <v>8</v>
      </c>
      <c r="C33" s="11">
        <v>300</v>
      </c>
      <c r="D33" s="11">
        <v>500</v>
      </c>
      <c r="E33" s="11">
        <v>800</v>
      </c>
      <c r="F33" s="2">
        <f t="shared" si="217"/>
        <v>1300</v>
      </c>
      <c r="G33" s="11" t="s">
        <v>20</v>
      </c>
      <c r="H33" s="11" t="s">
        <v>15</v>
      </c>
      <c r="I33" s="2">
        <f t="shared" ref="I33" ca="1" si="247">IF(H33="Bartender",(HLOOKUP(G33,TuesFoodTable,6)*B33)+(HLOOKUP(G33,TuesHostTable,6)*B33)+K33,SUM(K33,L33,M33))</f>
        <v>29.18</v>
      </c>
      <c r="J33" s="2">
        <f t="shared" ref="J33" ca="1" si="248">IFERROR(IF(H33="Bartender",(HLOOKUP(G33,TuesBarTable,6)*B33)+I33,C33+I33),"")</f>
        <v>329.18</v>
      </c>
      <c r="K33" s="7">
        <f t="shared" ref="K33" si="249">IF(H33="Server",-E33*AlcoholTipPercentage,0)+IF(H33="Bartender",HLOOKUP(G33,TuesBarTable,5)*B33)</f>
        <v>42.18</v>
      </c>
      <c r="L33" s="7" cm="1">
        <f t="array" ref="L33">IFERROR(_xlfn.IFS(HLOOKUP(G33,TuesFoodTable,2)=0,0,OR(H33="Server",H33="Bartender"),-D33*FoodTipPercentage,OR(H33="Expo",H33="Food Runner"),HLOOKUP(G33,TuesFoodTable,5)*B33,H33="Host",0),"")</f>
        <v>0</v>
      </c>
      <c r="M33" s="7" cm="1">
        <f t="array" aca="1" ref="M33" ca="1">IFERROR(_xlfn.IFS(HLOOKUP(G33,TuesHostTable,2)=0,0,OR(H33="Server",H33="Bartender"),-F33*HostTipPercentage,H33="Host",HLOOKUP(G33,TuesHostTable,5)*B33,OR(H33="Expo",H33="Food Runner"),0),"")</f>
        <v>-13</v>
      </c>
      <c r="N33" s="16" t="s">
        <v>55</v>
      </c>
      <c r="O33" s="17">
        <v>7</v>
      </c>
      <c r="P33" s="16">
        <v>10</v>
      </c>
      <c r="Q33" s="16">
        <v>9</v>
      </c>
      <c r="R33" s="16">
        <v>235</v>
      </c>
      <c r="S33" s="42">
        <f t="shared" si="221"/>
        <v>244</v>
      </c>
      <c r="T33" s="16" t="s">
        <v>20</v>
      </c>
      <c r="U33" s="16" t="s">
        <v>15</v>
      </c>
      <c r="V33" s="42">
        <f t="shared" ref="V33" ca="1" si="250">IF(U33="Bartender",(HLOOKUP(T33,ThursFoodTable,6)*O33)+(HLOOKUP(T33,ThursHostTable,6)*O33)+X33,SUM(X33,Y33,Z33))</f>
        <v>12.259999999999998</v>
      </c>
      <c r="W33" s="42">
        <f t="shared" ref="W33" ca="1" si="251">IFERROR(IF(U33="Bartender",(HLOOKUP(T33,ThursBarTable,6)*O33)+V33,P33+V33),"")</f>
        <v>22.259999999999998</v>
      </c>
      <c r="X33" s="7">
        <f t="shared" ref="X33" si="252">IF(U33="Server",-R33*AlcoholTipPercentage,0)+IF(U33="Bartender",HLOOKUP(T33,ThursBarTable,5)*O33)</f>
        <v>14.879999999999999</v>
      </c>
      <c r="Y33" s="7" cm="1">
        <f t="array" aca="1" ref="Y33" ca="1">IFERROR(_xlfn.IFS(HLOOKUP(T33,ThursFoodTable,2)=0,0,OR(U33="Server",U33="Bartender"),-Q33*FoodTipPercentage,OR(U33="Expo",U33="Food Runner"),HLOOKUP(T33,ThursFoodTable,5)*O33,U33="Host",0),"")</f>
        <v>-0.18</v>
      </c>
      <c r="Z33" s="7" cm="1">
        <f t="array" aca="1" ref="Z33" ca="1">IFERROR(_xlfn.IFS(HLOOKUP(T33,ThursHostTable,2)=0,0,OR(U33="Server",U33="Bartender"),-S33*HostTipPercentage,U33="Host",HLOOKUP(T33,ThursHostTable,5)*O33,OR(U33="Expo",U33="Food Runner"),0),"")</f>
        <v>-2.44</v>
      </c>
      <c r="AA33" s="9" t="s">
        <v>61</v>
      </c>
      <c r="AB33" s="10">
        <v>6</v>
      </c>
      <c r="AC33" s="9">
        <v>456</v>
      </c>
      <c r="AD33" s="9">
        <v>768</v>
      </c>
      <c r="AE33" s="9">
        <v>585</v>
      </c>
      <c r="AF33" s="38">
        <f t="shared" si="225"/>
        <v>1353</v>
      </c>
      <c r="AG33" s="9"/>
      <c r="AH33" s="9"/>
      <c r="AI33" s="38">
        <f t="shared" ref="AI33" si="253">IF(AH33="Bartender",(HLOOKUP(AG33,SatFoodTable,6)*AB33)+(HLOOKUP(AG33,SatHostTable,6)*AB33)+AK33,SUM(AK33,AL33,AM33))</f>
        <v>0</v>
      </c>
      <c r="AJ33" s="38">
        <f t="shared" ref="AJ33" si="254">IFERROR(IF(AH33="Bartender",(HLOOKUP(AG33,SatBarTable,6)*AB33)+AI33,AC33+AI33),"")</f>
        <v>456</v>
      </c>
      <c r="AK33" s="7">
        <f t="shared" ref="AK33" si="255">IF(AH33="Server",-AE33*AlcoholTipPercentage,0)+IF(AH33="Bartender",HLOOKUP(AG33,SatBarTable,5)*AB33)</f>
        <v>0</v>
      </c>
      <c r="AL33" s="7" t="str" cm="1">
        <f t="array" ref="AL33">IFERROR(_xlfn.IFS(HLOOKUP(AG33,SatFoodTable,2)=0,0,OR(AH33="Server",AH33="Bartender"),-AD33*FoodTipPercentage,OR(AH33="Expo",AH33="Food Runner"),HLOOKUP(AG33,SatFoodTable,5)*AB33,AH33="Host",0),"")</f>
        <v/>
      </c>
      <c r="AM33" s="7" t="str" cm="1">
        <f t="array" ref="AM33">IFERROR(_xlfn.IFS(HLOOKUP(AG33,SatHostTable,2)=0,0,OR(AH33="Server",AH33="Bartender"),-AF33*HostTipPercentage,AH33="Host",HLOOKUP(AG33,SatHostTable,5)*AB33,OR(AH33="Expo",AH33="Food Runner"),0),"")</f>
        <v/>
      </c>
      <c r="AN33" s="18" t="s">
        <v>64</v>
      </c>
      <c r="AO33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27</v>
      </c>
      <c r="AP33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390.67</v>
      </c>
      <c r="AQ33" s="7">
        <f ca="1">IFERROR(Table424789101112131418212325272325[[#This Row],[Weekly Tips]]/Table424789101112131418212325272325[[#This Row],[Hours]],0)</f>
        <v>14.46925925925926</v>
      </c>
      <c r="AR33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500</v>
      </c>
      <c r="AS33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800</v>
      </c>
      <c r="AT33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1300</v>
      </c>
    </row>
    <row r="34" spans="1:47" ht="16" x14ac:dyDescent="0.2">
      <c r="A34" s="11" t="s">
        <v>62</v>
      </c>
      <c r="B34" s="12">
        <v>6</v>
      </c>
      <c r="C34" s="11">
        <v>232</v>
      </c>
      <c r="D34" s="11">
        <v>900</v>
      </c>
      <c r="E34" s="11">
        <v>500</v>
      </c>
      <c r="F34" s="2">
        <f t="shared" si="217"/>
        <v>1400</v>
      </c>
      <c r="G34" s="11" t="s">
        <v>20</v>
      </c>
      <c r="H34" s="11" t="s">
        <v>18</v>
      </c>
      <c r="I34" s="2">
        <f t="shared" ref="I34" ca="1" si="256">IF(H34="Bartender",(HLOOKUP(G34,TuesFoodTable,6)*B34)+(HLOOKUP(G34,TuesHostTable,6)*B34)+K34,SUM(K34,L34,M34))</f>
        <v>-29</v>
      </c>
      <c r="J34" s="2">
        <f t="shared" ref="J34" ca="1" si="257">IFERROR(IF(H34="Bartender",(HLOOKUP(G34,TuesBarTable,6)*B34)+I34,C34+I34),"")</f>
        <v>203</v>
      </c>
      <c r="K34" s="7">
        <f t="shared" ref="K34" si="258">IF(H34="Server",-E34*AlcoholTipPercentage,0)+IF(H34="Bartender",HLOOKUP(G34,TuesBarTable,5)*B34)</f>
        <v>-15</v>
      </c>
      <c r="L34" s="7" cm="1">
        <f t="array" ref="L34">IFERROR(_xlfn.IFS(HLOOKUP(G34,TuesFoodTable,2)=0,0,OR(H34="Server",H34="Bartender"),-D34*FoodTipPercentage,OR(H34="Expo",H34="Food Runner"),HLOOKUP(G34,TuesFoodTable,5)*B34,H34="Host",0),"")</f>
        <v>0</v>
      </c>
      <c r="M34" s="7" cm="1">
        <f t="array" aca="1" ref="M34" ca="1">IFERROR(_xlfn.IFS(HLOOKUP(G34,TuesHostTable,2)=0,0,OR(H34="Server",H34="Bartender"),-F34*HostTipPercentage,H34="Host",HLOOKUP(G34,TuesHostTable,5)*B34,OR(H34="Expo",H34="Food Runner"),0),"")</f>
        <v>-14</v>
      </c>
      <c r="N34" s="16" t="s">
        <v>61</v>
      </c>
      <c r="O34" s="17">
        <v>6</v>
      </c>
      <c r="P34" s="16">
        <v>187</v>
      </c>
      <c r="Q34" s="16">
        <v>697</v>
      </c>
      <c r="R34" s="16">
        <v>496</v>
      </c>
      <c r="S34" s="42">
        <f t="shared" si="221"/>
        <v>1193</v>
      </c>
      <c r="T34" s="16" t="s">
        <v>20</v>
      </c>
      <c r="U34" s="16" t="s">
        <v>18</v>
      </c>
      <c r="V34" s="42">
        <f t="shared" ref="V34" ca="1" si="259">IF(U34="Bartender",(HLOOKUP(T34,ThursFoodTable,6)*O34)+(HLOOKUP(T34,ThursHostTable,6)*O34)+X34,SUM(X34,Y34,Z34))</f>
        <v>-40.75</v>
      </c>
      <c r="W34" s="42">
        <f t="shared" ref="W34" ca="1" si="260">IFERROR(IF(U34="Bartender",(HLOOKUP(T34,ThursBarTable,6)*O34)+V34,P34+V34),"")</f>
        <v>146.25</v>
      </c>
      <c r="X34" s="7">
        <f t="shared" ref="X34" si="261">IF(U34="Server",-R34*AlcoholTipPercentage,0)+IF(U34="Bartender",HLOOKUP(T34,ThursBarTable,5)*O34)</f>
        <v>-14.879999999999999</v>
      </c>
      <c r="Y34" s="7" cm="1">
        <f t="array" aca="1" ref="Y34" ca="1">IFERROR(_xlfn.IFS(HLOOKUP(T34,ThursFoodTable,2)=0,0,OR(U34="Server",U34="Bartender"),-Q34*FoodTipPercentage,OR(U34="Expo",U34="Food Runner"),HLOOKUP(T34,ThursFoodTable,5)*O34,U34="Host",0),"")</f>
        <v>-13.94</v>
      </c>
      <c r="Z34" s="7" cm="1">
        <f t="array" aca="1" ref="Z34" ca="1">IFERROR(_xlfn.IFS(HLOOKUP(T34,ThursHostTable,2)=0,0,OR(U34="Server",U34="Bartender"),-S34*HostTipPercentage,U34="Host",HLOOKUP(T34,ThursHostTable,5)*O34,OR(U34="Expo",U34="Food Runner"),0),"")</f>
        <v>-11.93</v>
      </c>
      <c r="AA34" s="9" t="s">
        <v>58</v>
      </c>
      <c r="AB34" s="10">
        <v>6</v>
      </c>
      <c r="AC34" s="9">
        <v>241</v>
      </c>
      <c r="AD34" s="9">
        <v>879</v>
      </c>
      <c r="AE34" s="9">
        <v>563</v>
      </c>
      <c r="AF34" s="38">
        <f t="shared" si="225"/>
        <v>1442</v>
      </c>
      <c r="AG34" s="9"/>
      <c r="AH34" s="9"/>
      <c r="AI34" s="38">
        <f t="shared" ref="AI34" si="262">IF(AH34="Bartender",(HLOOKUP(AG34,SatFoodTable,6)*AB34)+(HLOOKUP(AG34,SatHostTable,6)*AB34)+AK34,SUM(AK34,AL34,AM34))</f>
        <v>0</v>
      </c>
      <c r="AJ34" s="38">
        <f t="shared" ref="AJ34" si="263">IFERROR(IF(AH34="Bartender",(HLOOKUP(AG34,SatBarTable,6)*AB34)+AI34,AC34+AI34),"")</f>
        <v>241</v>
      </c>
      <c r="AK34" s="7">
        <f t="shared" ref="AK34" si="264">IF(AH34="Server",-AE34*AlcoholTipPercentage,0)+IF(AH34="Bartender",HLOOKUP(AG34,SatBarTable,5)*AB34)</f>
        <v>0</v>
      </c>
      <c r="AL34" s="7" t="str" cm="1">
        <f t="array" ref="AL34">IFERROR(_xlfn.IFS(HLOOKUP(AG34,SatFoodTable,2)=0,0,OR(AH34="Server",AH34="Bartender"),-AD34*FoodTipPercentage,OR(AH34="Expo",AH34="Food Runner"),HLOOKUP(AG34,SatFoodTable,5)*AB34,AH34="Host",0),"")</f>
        <v/>
      </c>
      <c r="AM34" s="7" t="str" cm="1">
        <f t="array" ref="AM34">IFERROR(_xlfn.IFS(HLOOKUP(AG34,SatHostTable,2)=0,0,OR(AH34="Server",AH34="Bartender"),-AF34*HostTipPercentage,AH34="Host",HLOOKUP(AG34,SatHostTable,5)*AB34,OR(AH34="Expo",AH34="Food Runner"),0),"")</f>
        <v/>
      </c>
      <c r="AN34" s="18" t="s">
        <v>57</v>
      </c>
      <c r="AO34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48</v>
      </c>
      <c r="AP34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1480.3892307692308</v>
      </c>
      <c r="AQ34" s="7">
        <f ca="1">IFERROR(Table424789101112131418212325272325[[#This Row],[Weekly Tips]]/Table424789101112131418212325272325[[#This Row],[Hours]],0)</f>
        <v>30.841442307692308</v>
      </c>
      <c r="AR34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4251.51</v>
      </c>
      <c r="AS34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2358.14</v>
      </c>
      <c r="AT34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6609.65</v>
      </c>
      <c r="AU34" s="7" t="s">
        <v>18</v>
      </c>
    </row>
    <row r="35" spans="1:47" ht="16" x14ac:dyDescent="0.2">
      <c r="A35" s="11" t="s">
        <v>55</v>
      </c>
      <c r="B35" s="12">
        <v>6</v>
      </c>
      <c r="C35" s="11">
        <v>186</v>
      </c>
      <c r="D35" s="11">
        <v>795</v>
      </c>
      <c r="E35" s="11">
        <v>532</v>
      </c>
      <c r="F35" s="2">
        <f t="shared" si="217"/>
        <v>1327</v>
      </c>
      <c r="G35" s="11" t="s">
        <v>20</v>
      </c>
      <c r="H35" s="11" t="s">
        <v>18</v>
      </c>
      <c r="I35" s="2">
        <f t="shared" ref="I35" ca="1" si="265">IF(H35="Bartender",(HLOOKUP(G35,TuesFoodTable,6)*B35)+(HLOOKUP(G35,TuesHostTable,6)*B35)+K35,SUM(K35,L35,M35))</f>
        <v>-29.229999999999997</v>
      </c>
      <c r="J35" s="2">
        <f t="shared" ref="J35" ca="1" si="266">IFERROR(IF(H35="Bartender",(HLOOKUP(G35,TuesBarTable,6)*B35)+I35,C35+I35),"")</f>
        <v>156.77000000000001</v>
      </c>
      <c r="K35" s="7">
        <f t="shared" ref="K35" si="267">IF(H35="Server",-E35*AlcoholTipPercentage,0)+IF(H35="Bartender",HLOOKUP(G35,TuesBarTable,5)*B35)</f>
        <v>-15.959999999999999</v>
      </c>
      <c r="L35" s="7" cm="1">
        <f t="array" ref="L35">IFERROR(_xlfn.IFS(HLOOKUP(G35,TuesFoodTable,2)=0,0,OR(H35="Server",H35="Bartender"),-D35*FoodTipPercentage,OR(H35="Expo",H35="Food Runner"),HLOOKUP(G35,TuesFoodTable,5)*B35,H35="Host",0),"")</f>
        <v>0</v>
      </c>
      <c r="M35" s="7" cm="1">
        <f t="array" aca="1" ref="M35" ca="1">IFERROR(_xlfn.IFS(HLOOKUP(G35,TuesHostTable,2)=0,0,OR(H35="Server",H35="Bartender"),-F35*HostTipPercentage,H35="Host",HLOOKUP(G35,TuesHostTable,5)*B35,OR(H35="Expo",H35="Food Runner"),0),"")</f>
        <v>-13.27</v>
      </c>
      <c r="N35" s="16" t="s">
        <v>60</v>
      </c>
      <c r="O35" s="17">
        <v>4</v>
      </c>
      <c r="P35" s="16"/>
      <c r="Q35" s="16"/>
      <c r="R35" s="16"/>
      <c r="S35" s="42">
        <f t="shared" si="221"/>
        <v>0</v>
      </c>
      <c r="T35" s="16" t="s">
        <v>20</v>
      </c>
      <c r="U35" s="16" t="s">
        <v>33</v>
      </c>
      <c r="V35" s="42">
        <f t="shared" ref="V35" ca="1" si="268">IF(U35="Bartender",(HLOOKUP(T35,ThursFoodTable,6)*O35)+(HLOOKUP(T35,ThursHostTable,6)*O35)+X35,SUM(X35,Y35,Z35))</f>
        <v>14.12</v>
      </c>
      <c r="W35" s="42">
        <f t="shared" ref="W35" ca="1" si="269">IFERROR(IF(U35="Bartender",(HLOOKUP(T35,ThursBarTable,6)*O35)+V35,P35+V35),"")</f>
        <v>14.12</v>
      </c>
      <c r="X35" s="7">
        <f t="shared" ref="X35" si="270">IF(U35="Server",-R35*AlcoholTipPercentage,0)+IF(U35="Bartender",HLOOKUP(T35,ThursBarTable,5)*O35)</f>
        <v>0</v>
      </c>
      <c r="Y35" s="7" cm="1">
        <f t="array" aca="1" ref="Y35" ca="1">IFERROR(_xlfn.IFS(HLOOKUP(T35,ThursFoodTable,2)=0,0,OR(U35="Server",U35="Bartender"),-Q35*FoodTipPercentage,OR(U35="Expo",U35="Food Runner"),HLOOKUP(T35,ThursFoodTable,5)*O35,U35="Host",0),"")</f>
        <v>14.12</v>
      </c>
      <c r="Z35" s="7" cm="1">
        <f t="array" aca="1" ref="Z35" ca="1">IFERROR(_xlfn.IFS(HLOOKUP(T35,ThursHostTable,2)=0,0,OR(U35="Server",U35="Bartender"),-S35*HostTipPercentage,U35="Host",HLOOKUP(T35,ThursHostTable,5)*O35,OR(U35="Expo",U35="Food Runner"),0),"")</f>
        <v>0</v>
      </c>
      <c r="AA35" s="9" t="s">
        <v>60</v>
      </c>
      <c r="AB35" s="10">
        <v>8</v>
      </c>
      <c r="AC35" s="9">
        <v>167</v>
      </c>
      <c r="AD35" s="9">
        <v>555</v>
      </c>
      <c r="AE35" s="9">
        <v>310</v>
      </c>
      <c r="AF35" s="38">
        <f t="shared" si="225"/>
        <v>865</v>
      </c>
      <c r="AG35" s="9"/>
      <c r="AH35" s="9"/>
      <c r="AI35" s="38">
        <f t="shared" ref="AI35" si="271">IF(AH35="Bartender",(HLOOKUP(AG35,SatFoodTable,6)*AB35)+(HLOOKUP(AG35,SatHostTable,6)*AB35)+AK35,SUM(AK35,AL35,AM35))</f>
        <v>0</v>
      </c>
      <c r="AJ35" s="38">
        <f t="shared" ref="AJ35" si="272">IFERROR(IF(AH35="Bartender",(HLOOKUP(AG35,SatBarTable,6)*AB35)+AI35,AC35+AI35),"")</f>
        <v>167</v>
      </c>
      <c r="AK35" s="7">
        <f t="shared" ref="AK35" si="273">IF(AH35="Server",-AE35*AlcoholTipPercentage,0)+IF(AH35="Bartender",HLOOKUP(AG35,SatBarTable,5)*AB35)</f>
        <v>0</v>
      </c>
      <c r="AL35" s="7" t="str" cm="1">
        <f t="array" ref="AL35">IFERROR(_xlfn.IFS(HLOOKUP(AG35,SatFoodTable,2)=0,0,OR(AH35="Server",AH35="Bartender"),-AD35*FoodTipPercentage,OR(AH35="Expo",AH35="Food Runner"),HLOOKUP(AG35,SatFoodTable,5)*AB35,AH35="Host",0),"")</f>
        <v/>
      </c>
      <c r="AM35" s="7" t="str" cm="1">
        <f t="array" ref="AM35">IFERROR(_xlfn.IFS(HLOOKUP(AG35,SatHostTable,2)=0,0,OR(AH35="Server",AH35="Bartender"),-AF35*HostTipPercentage,AH35="Host",HLOOKUP(AG35,SatHostTable,5)*AB35,OR(AH35="Expo",AH35="Food Runner"),0),"")</f>
        <v/>
      </c>
      <c r="AN35" s="18" t="s">
        <v>55</v>
      </c>
      <c r="AO35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59</v>
      </c>
      <c r="AP35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1438.75</v>
      </c>
      <c r="AQ35" s="7">
        <f ca="1">IFERROR(Table424789101112131418212325272325[[#This Row],[Weekly Tips]]/Table424789101112131418212325272325[[#This Row],[Hours]],0)</f>
        <v>24.385593220338983</v>
      </c>
      <c r="AR35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4824.1400000000003</v>
      </c>
      <c r="AS35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2978.52</v>
      </c>
      <c r="AT35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7802.66</v>
      </c>
      <c r="AU35" s="7" t="s">
        <v>15</v>
      </c>
    </row>
    <row r="36" spans="1:47" ht="16" x14ac:dyDescent="0.2">
      <c r="A36" s="11" t="s">
        <v>56</v>
      </c>
      <c r="B36" s="12">
        <v>7</v>
      </c>
      <c r="C36" s="11">
        <v>155</v>
      </c>
      <c r="D36" s="11">
        <v>1000</v>
      </c>
      <c r="E36" s="11">
        <v>374</v>
      </c>
      <c r="F36" s="2">
        <f t="shared" si="217"/>
        <v>1374</v>
      </c>
      <c r="G36" s="11" t="s">
        <v>20</v>
      </c>
      <c r="H36" s="11" t="s">
        <v>18</v>
      </c>
      <c r="I36" s="2">
        <f t="shared" ref="I36" ca="1" si="274">IF(H36="Bartender",(HLOOKUP(G36,TuesFoodTable,6)*B36)+(HLOOKUP(G36,TuesHostTable,6)*B36)+K36,SUM(K36,L36,M36))</f>
        <v>-24.96</v>
      </c>
      <c r="J36" s="2">
        <f t="shared" ref="J36" ca="1" si="275">IFERROR(IF(H36="Bartender",(HLOOKUP(G36,TuesBarTable,6)*B36)+I36,C36+I36),"")</f>
        <v>130.04</v>
      </c>
      <c r="K36" s="7">
        <f t="shared" ref="K36" si="276">IF(H36="Server",-E36*AlcoholTipPercentage,0)+IF(H36="Bartender",HLOOKUP(G36,TuesBarTable,5)*B36)</f>
        <v>-11.219999999999999</v>
      </c>
      <c r="L36" s="7" cm="1">
        <f t="array" ref="L36">IFERROR(_xlfn.IFS(HLOOKUP(G36,TuesFoodTable,2)=0,0,OR(H36="Server",H36="Bartender"),-D36*FoodTipPercentage,OR(H36="Expo",H36="Food Runner"),HLOOKUP(G36,TuesFoodTable,5)*B36,H36="Host",0),"")</f>
        <v>0</v>
      </c>
      <c r="M36" s="7" cm="1">
        <f t="array" aca="1" ref="M36" ca="1">IFERROR(_xlfn.IFS(HLOOKUP(G36,TuesHostTable,2)=0,0,OR(H36="Server",H36="Bartender"),-F36*HostTipPercentage,H36="Host",HLOOKUP(G36,TuesHostTable,5)*B36,OR(H36="Expo",H36="Food Runner"),0),"")</f>
        <v>-13.74</v>
      </c>
      <c r="N36" s="16"/>
      <c r="O36" s="17"/>
      <c r="P36" s="16"/>
      <c r="Q36" s="16"/>
      <c r="R36" s="16"/>
      <c r="S36" s="42">
        <f t="shared" si="221"/>
        <v>0</v>
      </c>
      <c r="T36" s="16"/>
      <c r="U36" s="16"/>
      <c r="V36" s="42">
        <f t="shared" ref="V36" si="277">IF(U36="Bartender",(HLOOKUP(T36,ThursFoodTable,6)*O36)+(HLOOKUP(T36,ThursHostTable,6)*O36)+X36,SUM(X36,Y36,Z36))</f>
        <v>0</v>
      </c>
      <c r="W36" s="42">
        <f t="shared" ref="W36" si="278">IFERROR(IF(U36="Bartender",(HLOOKUP(T36,ThursBarTable,6)*O36)+V36,P36+V36),"")</f>
        <v>0</v>
      </c>
      <c r="X36" s="7">
        <f t="shared" ref="X36" si="279">IF(U36="Server",-R36*AlcoholTipPercentage,0)+IF(U36="Bartender",HLOOKUP(T36,ThursBarTable,5)*O36)</f>
        <v>0</v>
      </c>
      <c r="Y36" s="7" t="str" cm="1">
        <f t="array" ref="Y36">IFERROR(_xlfn.IFS(HLOOKUP(T36,ThursFoodTable,2)=0,0,OR(U36="Server",U36="Bartender"),-Q36*FoodTipPercentage,OR(U36="Expo",U36="Food Runner"),HLOOKUP(T36,ThursFoodTable,5)*O36,U36="Host",0),"")</f>
        <v/>
      </c>
      <c r="Z36" s="7" t="str" cm="1">
        <f t="array" ref="Z36">IFERROR(_xlfn.IFS(HLOOKUP(T36,ThursHostTable,2)=0,0,OR(U36="Server",U36="Bartender"),-S36*HostTipPercentage,U36="Host",HLOOKUP(T36,ThursHostTable,5)*O36,OR(U36="Expo",U36="Food Runner"),0),"")</f>
        <v/>
      </c>
      <c r="AA36" s="9" t="s">
        <v>64</v>
      </c>
      <c r="AB36" s="10">
        <v>10</v>
      </c>
      <c r="AC36" s="9"/>
      <c r="AD36" s="9"/>
      <c r="AE36" s="9"/>
      <c r="AF36" s="38">
        <f t="shared" si="225"/>
        <v>0</v>
      </c>
      <c r="AG36" s="9"/>
      <c r="AH36" s="9"/>
      <c r="AI36" s="38">
        <f t="shared" ref="AI36" si="280">IF(AH36="Bartender",(HLOOKUP(AG36,SatFoodTable,6)*AB36)+(HLOOKUP(AG36,SatHostTable,6)*AB36)+AK36,SUM(AK36,AL36,AM36))</f>
        <v>0</v>
      </c>
      <c r="AJ36" s="38">
        <f t="shared" ref="AJ36" si="281">IFERROR(IF(AH36="Bartender",(HLOOKUP(AG36,SatBarTable,6)*AB36)+AI36,AC36+AI36),"")</f>
        <v>0</v>
      </c>
      <c r="AK36" s="7">
        <f t="shared" ref="AK36" si="282">IF(AH36="Server",-AE36*AlcoholTipPercentage,0)+IF(AH36="Bartender",HLOOKUP(AG36,SatBarTable,5)*AB36)</f>
        <v>0</v>
      </c>
      <c r="AL36" s="7" t="str" cm="1">
        <f t="array" ref="AL36">IFERROR(_xlfn.IFS(HLOOKUP(AG36,SatFoodTable,2)=0,0,OR(AH36="Server",AH36="Bartender"),-AD36*FoodTipPercentage,OR(AH36="Expo",AH36="Food Runner"),HLOOKUP(AG36,SatFoodTable,5)*AB36,AH36="Host",0),"")</f>
        <v/>
      </c>
      <c r="AM36" s="7" t="str" cm="1">
        <f t="array" ref="AM36">IFERROR(_xlfn.IFS(HLOOKUP(AG36,SatHostTable,2)=0,0,OR(AH36="Server",AH36="Bartender"),-AF36*HostTipPercentage,AH36="Host",HLOOKUP(AG36,SatHostTable,5)*AB36,OR(AH36="Expo",AH36="Food Runner"),0),"")</f>
        <v/>
      </c>
      <c r="AN36" s="18" t="s">
        <v>56</v>
      </c>
      <c r="AO36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21</v>
      </c>
      <c r="AP36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379.48</v>
      </c>
      <c r="AQ36" s="7">
        <f ca="1">IFERROR(Table424789101112131418212325272325[[#This Row],[Weekly Tips]]/Table424789101112131418212325272325[[#This Row],[Hours]],0)</f>
        <v>18.070476190476192</v>
      </c>
      <c r="AR36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1700</v>
      </c>
      <c r="AS36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1114</v>
      </c>
      <c r="AT36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2814</v>
      </c>
    </row>
    <row r="37" spans="1:47" ht="16" x14ac:dyDescent="0.2">
      <c r="A37" s="11"/>
      <c r="B37" s="12"/>
      <c r="C37" s="11"/>
      <c r="D37" s="11"/>
      <c r="E37" s="11"/>
      <c r="F37" s="37">
        <f t="shared" si="217"/>
        <v>0</v>
      </c>
      <c r="G37" s="11"/>
      <c r="H37" s="11"/>
      <c r="I37" s="2">
        <f t="shared" ref="I37" si="283">IF(H37="Bartender",(HLOOKUP(G37,TuesFoodTable,6)*B37)+(HLOOKUP(G37,TuesHostTable,6)*B37)+K37,SUM(K37,L37,M37))</f>
        <v>0</v>
      </c>
      <c r="J37" s="37">
        <f t="shared" ref="J37" si="284">IFERROR(IF(H37="Bartender",(HLOOKUP(G37,TuesBarTable,6)*B37)+I37,C37+I37),"")</f>
        <v>0</v>
      </c>
      <c r="K37" s="7">
        <f t="shared" ref="K37" si="285">IF(H37="Server",-E37*AlcoholTipPercentage,0)+IF(H37="Bartender",HLOOKUP(G37,TuesBarTable,5)*B37)</f>
        <v>0</v>
      </c>
      <c r="L37" s="7" t="str" cm="1">
        <f t="array" ref="L37">IFERROR(_xlfn.IFS(HLOOKUP(G37,TuesFoodTable,2)=0,0,OR(H37="Server",H37="Bartender"),-D37*FoodTipPercentage,OR(H37="Expo",H37="Food Runner"),HLOOKUP(G37,TuesFoodTable,5)*B37,H37="Host",0),"")</f>
        <v/>
      </c>
      <c r="M37" s="7" t="str" cm="1">
        <f t="array" ref="M37">IFERROR(_xlfn.IFS(HLOOKUP(G37,TuesHostTable,2)=0,0,OR(H37="Server",H37="Bartender"),-F37*HostTipPercentage,H37="Host",HLOOKUP(G37,TuesHostTable,5)*B37,OR(H37="Expo",H37="Food Runner"),0),"")</f>
        <v/>
      </c>
      <c r="N37" s="16"/>
      <c r="O37" s="17"/>
      <c r="P37" s="16"/>
      <c r="Q37" s="16"/>
      <c r="R37" s="16"/>
      <c r="S37" s="42">
        <f t="shared" si="221"/>
        <v>0</v>
      </c>
      <c r="T37" s="16"/>
      <c r="U37" s="16"/>
      <c r="V37" s="42">
        <f t="shared" ref="V37" si="286">IF(U37="Bartender",(HLOOKUP(T37,ThursFoodTable,6)*O37)+(HLOOKUP(T37,ThursHostTable,6)*O37)+X37,SUM(X37,Y37,Z37))</f>
        <v>0</v>
      </c>
      <c r="W37" s="42">
        <f t="shared" ref="W37" si="287">IFERROR(IF(U37="Bartender",(HLOOKUP(T37,ThursBarTable,6)*O37)+V37,P37+V37),"")</f>
        <v>0</v>
      </c>
      <c r="X37" s="7">
        <f t="shared" ref="X37" si="288">IF(U37="Server",-R37*AlcoholTipPercentage,0)+IF(U37="Bartender",HLOOKUP(T37,ThursBarTable,5)*O37)</f>
        <v>0</v>
      </c>
      <c r="Y37" s="7" t="str" cm="1">
        <f t="array" ref="Y37">IFERROR(_xlfn.IFS(HLOOKUP(T37,ThursFoodTable,2)=0,0,OR(U37="Server",U37="Bartender"),-Q37*FoodTipPercentage,OR(U37="Expo",U37="Food Runner"),HLOOKUP(T37,ThursFoodTable,5)*O37,U37="Host",0),"")</f>
        <v/>
      </c>
      <c r="Z37" s="7" t="str" cm="1">
        <f t="array" ref="Z37">IFERROR(_xlfn.IFS(HLOOKUP(T37,ThursHostTable,2)=0,0,OR(U37="Server",U37="Bartender"),-S37*HostTipPercentage,U37="Host",HLOOKUP(T37,ThursHostTable,5)*O37,OR(U37="Expo",U37="Food Runner"),0),"")</f>
        <v/>
      </c>
      <c r="AA37" s="9" t="s">
        <v>63</v>
      </c>
      <c r="AB37" s="10">
        <v>5</v>
      </c>
      <c r="AC37" s="9"/>
      <c r="AD37" s="9"/>
      <c r="AE37" s="9"/>
      <c r="AF37" s="38">
        <f t="shared" si="225"/>
        <v>0</v>
      </c>
      <c r="AG37" s="9"/>
      <c r="AH37" s="9"/>
      <c r="AI37" s="38">
        <f t="shared" ref="AI37" si="289">IF(AH37="Bartender",(HLOOKUP(AG37,SatFoodTable,6)*AB37)+(HLOOKUP(AG37,SatHostTable,6)*AB37)+AK37,SUM(AK37,AL37,AM37))</f>
        <v>0</v>
      </c>
      <c r="AJ37" s="38">
        <f t="shared" ref="AJ37" si="290">IFERROR(IF(AH37="Bartender",(HLOOKUP(AG37,SatBarTable,6)*AB37)+AI37,AC37+AI37),"")</f>
        <v>0</v>
      </c>
      <c r="AK37" s="7">
        <f t="shared" ref="AK37" si="291">IF(AH37="Server",-AE37*AlcoholTipPercentage,0)+IF(AH37="Bartender",HLOOKUP(AG37,SatBarTable,5)*AB37)</f>
        <v>0</v>
      </c>
      <c r="AL37" s="7" t="str" cm="1">
        <f t="array" ref="AL37">IFERROR(_xlfn.IFS(HLOOKUP(AG37,SatFoodTable,2)=0,0,OR(AH37="Server",AH37="Bartender"),-AD37*FoodTipPercentage,OR(AH37="Expo",AH37="Food Runner"),HLOOKUP(AG37,SatFoodTable,5)*AB37,AH37="Host",0),"")</f>
        <v/>
      </c>
      <c r="AM37" s="7" t="str" cm="1">
        <f t="array" ref="AM37">IFERROR(_xlfn.IFS(HLOOKUP(AG37,SatHostTable,2)=0,0,OR(AH37="Server",AH37="Bartender"),-AF37*HostTipPercentage,AH37="Host",HLOOKUP(AG37,SatHostTable,5)*AB37,OR(AH37="Expo",AH37="Food Runner"),0),"")</f>
        <v/>
      </c>
      <c r="AN37" s="18" t="s">
        <v>58</v>
      </c>
      <c r="AO37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27</v>
      </c>
      <c r="AP37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594.29999999999995</v>
      </c>
      <c r="AQ37" s="7">
        <f ca="1">IFERROR(Table424789101112131418212325272325[[#This Row],[Weekly Tips]]/Table424789101112131418212325272325[[#This Row],[Hours]],0)</f>
        <v>22.011111111111109</v>
      </c>
      <c r="AR37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2537</v>
      </c>
      <c r="AS37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1116</v>
      </c>
      <c r="AT37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3653</v>
      </c>
    </row>
    <row r="38" spans="1:47" ht="16" x14ac:dyDescent="0.2">
      <c r="A38" s="11"/>
      <c r="B38" s="12"/>
      <c r="C38" s="11"/>
      <c r="D38" s="11"/>
      <c r="E38" s="11"/>
      <c r="F38" s="37">
        <f t="shared" si="217"/>
        <v>0</v>
      </c>
      <c r="G38" s="11"/>
      <c r="H38" s="11"/>
      <c r="I38" s="2">
        <f t="shared" ref="I38" si="292">IF(H38="Bartender",(HLOOKUP(G38,TuesFoodTable,6)*B38)+(HLOOKUP(G38,TuesHostTable,6)*B38)+K38,SUM(K38,L38,M38))</f>
        <v>0</v>
      </c>
      <c r="J38" s="37">
        <f t="shared" ref="J38" si="293">IFERROR(IF(H38="Bartender",(HLOOKUP(G38,TuesBarTable,6)*B38)+I38,C38+I38),"")</f>
        <v>0</v>
      </c>
      <c r="K38" s="7">
        <f t="shared" ref="K38" si="294">IF(H38="Server",-E38*AlcoholTipPercentage,0)+IF(H38="Bartender",HLOOKUP(G38,TuesBarTable,5)*B38)</f>
        <v>0</v>
      </c>
      <c r="L38" s="7" t="str" cm="1">
        <f t="array" ref="L38">IFERROR(_xlfn.IFS(HLOOKUP(G38,TuesFoodTable,2)=0,0,OR(H38="Server",H38="Bartender"),-D38*FoodTipPercentage,OR(H38="Expo",H38="Food Runner"),HLOOKUP(G38,TuesFoodTable,5)*B38,H38="Host",0),"")</f>
        <v/>
      </c>
      <c r="M38" s="7" t="str" cm="1">
        <f t="array" ref="M38">IFERROR(_xlfn.IFS(HLOOKUP(G38,TuesHostTable,2)=0,0,OR(H38="Server",H38="Bartender"),-F38*HostTipPercentage,H38="Host",HLOOKUP(G38,TuesHostTable,5)*B38,OR(H38="Expo",H38="Food Runner"),0),"")</f>
        <v/>
      </c>
      <c r="N38" s="16"/>
      <c r="O38" s="17"/>
      <c r="P38" s="16"/>
      <c r="Q38" s="16"/>
      <c r="R38" s="16"/>
      <c r="S38" s="42">
        <f t="shared" si="221"/>
        <v>0</v>
      </c>
      <c r="T38" s="16"/>
      <c r="U38" s="16"/>
      <c r="V38" s="42">
        <f t="shared" ref="V38" si="295">IF(U38="Bartender",(HLOOKUP(T38,ThursFoodTable,6)*O38)+(HLOOKUP(T38,ThursHostTable,6)*O38)+X38,SUM(X38,Y38,Z38))</f>
        <v>0</v>
      </c>
      <c r="W38" s="42">
        <f t="shared" ref="W38" si="296">IFERROR(IF(U38="Bartender",(HLOOKUP(T38,ThursBarTable,6)*O38)+V38,P38+V38),"")</f>
        <v>0</v>
      </c>
      <c r="X38" s="7">
        <f t="shared" ref="X38" si="297">IF(U38="Server",-R38*AlcoholTipPercentage,0)+IF(U38="Bartender",HLOOKUP(T38,ThursBarTable,5)*O38)</f>
        <v>0</v>
      </c>
      <c r="Y38" s="7" t="str" cm="1">
        <f t="array" ref="Y38">IFERROR(_xlfn.IFS(HLOOKUP(T38,ThursFoodTable,2)=0,0,OR(U38="Server",U38="Bartender"),-Q38*FoodTipPercentage,OR(U38="Expo",U38="Food Runner"),HLOOKUP(T38,ThursFoodTable,5)*O38,U38="Host",0),"")</f>
        <v/>
      </c>
      <c r="Z38" s="7" t="str" cm="1">
        <f t="array" ref="Z38">IFERROR(_xlfn.IFS(HLOOKUP(T38,ThursHostTable,2)=0,0,OR(U38="Server",U38="Bartender"),-S38*HostTipPercentage,U38="Host",HLOOKUP(T38,ThursHostTable,5)*O38,OR(U38="Expo",U38="Food Runner"),0),"")</f>
        <v/>
      </c>
      <c r="AA38" s="9" t="s">
        <v>62</v>
      </c>
      <c r="AB38" s="10">
        <v>5</v>
      </c>
      <c r="AC38" s="9"/>
      <c r="AD38" s="9"/>
      <c r="AE38" s="9"/>
      <c r="AF38" s="38">
        <f t="shared" si="225"/>
        <v>0</v>
      </c>
      <c r="AG38" s="9"/>
      <c r="AH38" s="9"/>
      <c r="AI38" s="38">
        <f t="shared" ref="AI38" si="298">IF(AH38="Bartender",(HLOOKUP(AG38,SatFoodTable,6)*AB38)+(HLOOKUP(AG38,SatHostTable,6)*AB38)+AK38,SUM(AK38,AL38,AM38))</f>
        <v>0</v>
      </c>
      <c r="AJ38" s="38">
        <f t="shared" ref="AJ38" si="299">IFERROR(IF(AH38="Bartender",(HLOOKUP(AG38,SatBarTable,6)*AB38)+AI38,AC38+AI38),"")</f>
        <v>0</v>
      </c>
      <c r="AK38" s="7">
        <f t="shared" ref="AK38" si="300">IF(AH38="Server",-AE38*AlcoholTipPercentage,0)+IF(AH38="Bartender",HLOOKUP(AG38,SatBarTable,5)*AB38)</f>
        <v>0</v>
      </c>
      <c r="AL38" s="7" t="str" cm="1">
        <f t="array" ref="AL38">IFERROR(_xlfn.IFS(HLOOKUP(AG38,SatFoodTable,2)=0,0,OR(AH38="Server",AH38="Bartender"),-AD38*FoodTipPercentage,OR(AH38="Expo",AH38="Food Runner"),HLOOKUP(AG38,SatFoodTable,5)*AB38,AH38="Host",0),"")</f>
        <v/>
      </c>
      <c r="AM38" s="7" t="str" cm="1">
        <f t="array" ref="AM38">IFERROR(_xlfn.IFS(HLOOKUP(AG38,SatHostTable,2)=0,0,OR(AH38="Server",AH38="Bartender"),-AF38*HostTipPercentage,AH38="Host",HLOOKUP(AG38,SatHostTable,5)*AB38,OR(AH38="Expo",AH38="Food Runner"),0),"")</f>
        <v/>
      </c>
      <c r="AN38" s="18" t="s">
        <v>60</v>
      </c>
      <c r="AO38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24</v>
      </c>
      <c r="AP38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321.07</v>
      </c>
      <c r="AQ38" s="7">
        <f ca="1">IFERROR(Table424789101112131418212325272325[[#This Row],[Weekly Tips]]/Table424789101112131418212325272325[[#This Row],[Hours]],0)</f>
        <v>13.377916666666666</v>
      </c>
      <c r="AR38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1144</v>
      </c>
      <c r="AS38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735</v>
      </c>
      <c r="AT38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1879</v>
      </c>
    </row>
    <row r="39" spans="1:47" ht="16" x14ac:dyDescent="0.2">
      <c r="A39" s="11"/>
      <c r="B39" s="12"/>
      <c r="C39" s="11"/>
      <c r="D39" s="11"/>
      <c r="E39" s="11"/>
      <c r="F39" s="37">
        <f t="shared" si="217"/>
        <v>0</v>
      </c>
      <c r="G39" s="11"/>
      <c r="H39" s="11"/>
      <c r="I39" s="2">
        <f t="shared" ref="I39" si="301">IF(H39="Bartender",(HLOOKUP(G39,TuesFoodTable,6)*B39)+(HLOOKUP(G39,TuesHostTable,6)*B39)+K39,SUM(K39,L39,M39))</f>
        <v>0</v>
      </c>
      <c r="J39" s="37">
        <f t="shared" ref="J39" si="302">IFERROR(IF(H39="Bartender",(HLOOKUP(G39,TuesBarTable,6)*B39)+I39,C39+I39),"")</f>
        <v>0</v>
      </c>
      <c r="K39" s="7">
        <f t="shared" ref="K39" si="303">IF(H39="Server",-E39*AlcoholTipPercentage,0)+IF(H39="Bartender",HLOOKUP(G39,TuesBarTable,5)*B39)</f>
        <v>0</v>
      </c>
      <c r="L39" s="7" t="str" cm="1">
        <f t="array" ref="L39">IFERROR(_xlfn.IFS(HLOOKUP(G39,TuesFoodTable,2)=0,0,OR(H39="Server",H39="Bartender"),-D39*FoodTipPercentage,OR(H39="Expo",H39="Food Runner"),HLOOKUP(G39,TuesFoodTable,5)*B39,H39="Host",0),"")</f>
        <v/>
      </c>
      <c r="M39" s="7" t="str" cm="1">
        <f t="array" ref="M39">IFERROR(_xlfn.IFS(HLOOKUP(G39,TuesHostTable,2)=0,0,OR(H39="Server",H39="Bartender"),-F39*HostTipPercentage,H39="Host",HLOOKUP(G39,TuesHostTable,5)*B39,OR(H39="Expo",H39="Food Runner"),0),"")</f>
        <v/>
      </c>
      <c r="N39" s="16"/>
      <c r="O39" s="17"/>
      <c r="P39" s="16"/>
      <c r="Q39" s="16"/>
      <c r="R39" s="16"/>
      <c r="S39" s="42">
        <f t="shared" si="221"/>
        <v>0</v>
      </c>
      <c r="T39" s="16"/>
      <c r="U39" s="16"/>
      <c r="V39" s="42">
        <f t="shared" ref="V39" si="304">IF(U39="Bartender",(HLOOKUP(T39,ThursFoodTable,6)*O39)+(HLOOKUP(T39,ThursHostTable,6)*O39)+X39,SUM(X39,Y39,Z39))</f>
        <v>0</v>
      </c>
      <c r="W39" s="42">
        <f t="shared" ref="W39" si="305">IFERROR(IF(U39="Bartender",(HLOOKUP(T39,ThursBarTable,6)*O39)+V39,P39+V39),"")</f>
        <v>0</v>
      </c>
      <c r="X39" s="7">
        <f t="shared" ref="X39" si="306">IF(U39="Server",-R39*AlcoholTipPercentage,0)+IF(U39="Bartender",HLOOKUP(T39,ThursBarTable,5)*O39)</f>
        <v>0</v>
      </c>
      <c r="Y39" s="7" t="str" cm="1">
        <f t="array" ref="Y39">IFERROR(_xlfn.IFS(HLOOKUP(T39,ThursFoodTable,2)=0,0,OR(U39="Server",U39="Bartender"),-Q39*FoodTipPercentage,OR(U39="Expo",U39="Food Runner"),HLOOKUP(T39,ThursFoodTable,5)*O39,U39="Host",0),"")</f>
        <v/>
      </c>
      <c r="Z39" s="7" t="str" cm="1">
        <f t="array" ref="Z39">IFERROR(_xlfn.IFS(HLOOKUP(T39,ThursHostTable,2)=0,0,OR(U39="Server",U39="Bartender"),-S39*HostTipPercentage,U39="Host",HLOOKUP(T39,ThursHostTable,5)*O39,OR(U39="Expo",U39="Food Runner"),0),"")</f>
        <v/>
      </c>
      <c r="AA39" s="9"/>
      <c r="AB39" s="10"/>
      <c r="AC39" s="9"/>
      <c r="AD39" s="9"/>
      <c r="AE39" s="9"/>
      <c r="AF39" s="38">
        <f t="shared" si="225"/>
        <v>0</v>
      </c>
      <c r="AG39" s="9"/>
      <c r="AH39" s="9"/>
      <c r="AI39" s="38">
        <f t="shared" ref="AI39" si="307">IF(AH39="Bartender",(HLOOKUP(AG39,SatFoodTable,6)*AB39)+(HLOOKUP(AG39,SatHostTable,6)*AB39)+AK39,SUM(AK39,AL39,AM39))</f>
        <v>0</v>
      </c>
      <c r="AJ39" s="38">
        <f t="shared" ref="AJ39" si="308">IFERROR(IF(AH39="Bartender",(HLOOKUP(AG39,SatBarTable,6)*AB39)+AI39,AC39+AI39),"")</f>
        <v>0</v>
      </c>
      <c r="AK39" s="7">
        <f t="shared" ref="AK39" si="309">IF(AH39="Server",-AE39*AlcoholTipPercentage,0)+IF(AH39="Bartender",HLOOKUP(AG39,SatBarTable,5)*AB39)</f>
        <v>0</v>
      </c>
      <c r="AL39" s="7" t="str" cm="1">
        <f t="array" ref="AL39">IFERROR(_xlfn.IFS(HLOOKUP(AG39,SatFoodTable,2)=0,0,OR(AH39="Server",AH39="Bartender"),-AD39*FoodTipPercentage,OR(AH39="Expo",AH39="Food Runner"),HLOOKUP(AG39,SatFoodTable,5)*AB39,AH39="Host",0),"")</f>
        <v/>
      </c>
      <c r="AM39" s="7" t="str" cm="1">
        <f t="array" ref="AM39">IFERROR(_xlfn.IFS(HLOOKUP(AG39,SatHostTable,2)=0,0,OR(AH39="Server",AH39="Bartender"),-AF39*HostTipPercentage,AH39="Host",HLOOKUP(AG39,SatHostTable,5)*AB39,OR(AH39="Expo",AH39="Food Runner"),0),"")</f>
        <v/>
      </c>
      <c r="AN39" s="18" t="s">
        <v>65</v>
      </c>
      <c r="AO39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21</v>
      </c>
      <c r="AP39" s="20">
        <f ca="1"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276.97000000000003</v>
      </c>
      <c r="AQ39" s="7">
        <f ca="1">IFERROR(Table424789101112131418212325272325[[#This Row],[Weekly Tips]]/Table424789101112131418212325272325[[#This Row],[Hours]],0)</f>
        <v>13.189047619047621</v>
      </c>
      <c r="AR39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39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39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  <c r="AU39" s="7" t="s">
        <v>33</v>
      </c>
    </row>
    <row r="40" spans="1:47" ht="16" x14ac:dyDescent="0.2">
      <c r="A40" s="11"/>
      <c r="B40" s="12"/>
      <c r="C40" s="11"/>
      <c r="D40" s="11"/>
      <c r="E40" s="11"/>
      <c r="F40" s="37">
        <f t="shared" si="217"/>
        <v>0</v>
      </c>
      <c r="G40" s="11"/>
      <c r="H40" s="11"/>
      <c r="I40" s="2">
        <f t="shared" ref="I40" si="310">IF(H40="Bartender",(HLOOKUP(G40,TuesFoodTable,6)*B40)+(HLOOKUP(G40,TuesHostTable,6)*B40)+K40,SUM(K40,L40,M40))</f>
        <v>0</v>
      </c>
      <c r="J40" s="37">
        <f t="shared" ref="J40" si="311">IFERROR(IF(H40="Bartender",(HLOOKUP(G40,TuesBarTable,6)*B40)+I40,C40+I40),"")</f>
        <v>0</v>
      </c>
      <c r="K40" s="7">
        <f t="shared" ref="K40" si="312">IF(H40="Server",-E40*AlcoholTipPercentage,0)+IF(H40="Bartender",HLOOKUP(G40,TuesBarTable,5)*B40)</f>
        <v>0</v>
      </c>
      <c r="L40" s="7" t="str" cm="1">
        <f t="array" ref="L40">IFERROR(_xlfn.IFS(HLOOKUP(G40,TuesFoodTable,2)=0,0,OR(H40="Server",H40="Bartender"),-D40*FoodTipPercentage,OR(H40="Expo",H40="Food Runner"),HLOOKUP(G40,TuesFoodTable,5)*B40,H40="Host",0),"")</f>
        <v/>
      </c>
      <c r="M40" s="7" t="str" cm="1">
        <f t="array" ref="M40">IFERROR(_xlfn.IFS(HLOOKUP(G40,TuesHostTable,2)=0,0,OR(H40="Server",H40="Bartender"),-F40*HostTipPercentage,H40="Host",HLOOKUP(G40,TuesHostTable,5)*B40,OR(H40="Expo",H40="Food Runner"),0),"")</f>
        <v/>
      </c>
      <c r="N40" s="16"/>
      <c r="O40" s="17"/>
      <c r="P40" s="16"/>
      <c r="Q40" s="16"/>
      <c r="R40" s="16"/>
      <c r="S40" s="42">
        <f t="shared" si="221"/>
        <v>0</v>
      </c>
      <c r="T40" s="16"/>
      <c r="U40" s="16"/>
      <c r="V40" s="42">
        <f t="shared" ref="V40" si="313">IF(U40="Bartender",(HLOOKUP(T40,ThursFoodTable,6)*O40)+(HLOOKUP(T40,ThursHostTable,6)*O40)+X40,SUM(X40,Y40,Z40))</f>
        <v>0</v>
      </c>
      <c r="W40" s="42">
        <f t="shared" ref="W40" si="314">IFERROR(IF(U40="Bartender",(HLOOKUP(T40,ThursBarTable,6)*O40)+V40,P40+V40),"")</f>
        <v>0</v>
      </c>
      <c r="X40" s="7">
        <f t="shared" ref="X40" si="315">IF(U40="Server",-R40*AlcoholTipPercentage,0)+IF(U40="Bartender",HLOOKUP(T40,ThursBarTable,5)*O40)</f>
        <v>0</v>
      </c>
      <c r="Y40" s="7" t="str" cm="1">
        <f t="array" ref="Y40">IFERROR(_xlfn.IFS(HLOOKUP(T40,ThursFoodTable,2)=0,0,OR(U40="Server",U40="Bartender"),-Q40*FoodTipPercentage,OR(U40="Expo",U40="Food Runner"),HLOOKUP(T40,ThursFoodTable,5)*O40,U40="Host",0),"")</f>
        <v/>
      </c>
      <c r="Z40" s="7" t="str" cm="1">
        <f t="array" ref="Z40">IFERROR(_xlfn.IFS(HLOOKUP(T40,ThursHostTable,2)=0,0,OR(U40="Server",U40="Bartender"),-S40*HostTipPercentage,U40="Host",HLOOKUP(T40,ThursHostTable,5)*O40,OR(U40="Expo",U40="Food Runner"),0),"")</f>
        <v/>
      </c>
      <c r="AA40" s="9"/>
      <c r="AB40" s="10"/>
      <c r="AC40" s="9"/>
      <c r="AD40" s="9"/>
      <c r="AE40" s="9"/>
      <c r="AF40" s="38">
        <f t="shared" si="225"/>
        <v>0</v>
      </c>
      <c r="AG40" s="9"/>
      <c r="AH40" s="9"/>
      <c r="AI40" s="38">
        <f t="shared" ref="AI40" si="316">IF(AH40="Bartender",(HLOOKUP(AG40,SatFoodTable,6)*AB40)+(HLOOKUP(AG40,SatHostTable,6)*AB40)+AK40,SUM(AK40,AL40,AM40))</f>
        <v>0</v>
      </c>
      <c r="AJ40" s="38">
        <f t="shared" ref="AJ40" si="317">IFERROR(IF(AH40="Bartender",(HLOOKUP(AG40,SatBarTable,6)*AB40)+AI40,AC40+AI40),"")</f>
        <v>0</v>
      </c>
      <c r="AK40" s="7">
        <f t="shared" ref="AK40" si="318">IF(AH40="Server",-AE40*AlcoholTipPercentage,0)+IF(AH40="Bartender",HLOOKUP(AG40,SatBarTable,5)*AB40)</f>
        <v>0</v>
      </c>
      <c r="AL40" s="7" t="str" cm="1">
        <f t="array" ref="AL40">IFERROR(_xlfn.IFS(HLOOKUP(AG40,SatFoodTable,2)=0,0,OR(AH40="Server",AH40="Bartender"),-AD40*FoodTipPercentage,OR(AH40="Expo",AH40="Food Runner"),HLOOKUP(AG40,SatFoodTable,5)*AB40,AH40="Host",0),"")</f>
        <v/>
      </c>
      <c r="AM40" s="7" t="str" cm="1">
        <f t="array" ref="AM40">IFERROR(_xlfn.IFS(HLOOKUP(AG40,SatHostTable,2)=0,0,OR(AH40="Server",AH40="Bartender"),-AF40*HostTipPercentage,AH40="Host",HLOOKUP(AG40,SatHostTable,5)*AB40,OR(AH40="Expo",AH40="Food Runner"),0),"")</f>
        <v/>
      </c>
      <c r="AN40" s="18"/>
      <c r="AO40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0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0" s="7">
        <f>IFERROR(Table424789101112131418212325272325[[#This Row],[Weekly Tips]]/Table424789101112131418212325272325[[#This Row],[Hours]],0)</f>
        <v>0</v>
      </c>
      <c r="AR40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0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0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1" spans="1:47" ht="16" x14ac:dyDescent="0.2">
      <c r="A41" s="11"/>
      <c r="B41" s="12"/>
      <c r="C41" s="11"/>
      <c r="D41" s="11"/>
      <c r="E41" s="11"/>
      <c r="F41" s="37">
        <f t="shared" si="217"/>
        <v>0</v>
      </c>
      <c r="G41" s="11"/>
      <c r="H41" s="11"/>
      <c r="I41" s="2">
        <f t="shared" ref="I41" si="319">IF(H41="Bartender",(HLOOKUP(G41,TuesFoodTable,6)*B41)+(HLOOKUP(G41,TuesHostTable,6)*B41)+K41,SUM(K41,L41,M41))</f>
        <v>0</v>
      </c>
      <c r="J41" s="37">
        <f t="shared" ref="J41" si="320">IFERROR(IF(H41="Bartender",(HLOOKUP(G41,TuesBarTable,6)*B41)+I41,C41+I41),"")</f>
        <v>0</v>
      </c>
      <c r="K41" s="7">
        <f t="shared" ref="K41" si="321">IF(H41="Server",-E41*AlcoholTipPercentage,0)+IF(H41="Bartender",HLOOKUP(G41,TuesBarTable,5)*B41)</f>
        <v>0</v>
      </c>
      <c r="L41" s="7" t="str" cm="1">
        <f t="array" ref="L41">IFERROR(_xlfn.IFS(HLOOKUP(G41,TuesFoodTable,2)=0,0,OR(H41="Server",H41="Bartender"),-D41*FoodTipPercentage,OR(H41="Expo",H41="Food Runner"),HLOOKUP(G41,TuesFoodTable,5)*B41,H41="Host",0),"")</f>
        <v/>
      </c>
      <c r="M41" s="7" t="str" cm="1">
        <f t="array" ref="M41">IFERROR(_xlfn.IFS(HLOOKUP(G41,TuesHostTable,2)=0,0,OR(H41="Server",H41="Bartender"),-F41*HostTipPercentage,H41="Host",HLOOKUP(G41,TuesHostTable,5)*B41,OR(H41="Expo",H41="Food Runner"),0),"")</f>
        <v/>
      </c>
      <c r="N41" s="16"/>
      <c r="O41" s="17"/>
      <c r="P41" s="16"/>
      <c r="Q41" s="16"/>
      <c r="R41" s="16"/>
      <c r="S41" s="42">
        <f t="shared" si="221"/>
        <v>0</v>
      </c>
      <c r="T41" s="16"/>
      <c r="U41" s="16"/>
      <c r="V41" s="42">
        <f t="shared" ref="V41" si="322">IF(U41="Bartender",(HLOOKUP(T41,ThursFoodTable,6)*O41)+(HLOOKUP(T41,ThursHostTable,6)*O41)+X41,SUM(X41,Y41,Z41))</f>
        <v>0</v>
      </c>
      <c r="W41" s="42">
        <f t="shared" ref="W41" si="323">IFERROR(IF(U41="Bartender",(HLOOKUP(T41,ThursBarTable,6)*O41)+V41,P41+V41),"")</f>
        <v>0</v>
      </c>
      <c r="X41" s="7">
        <f t="shared" ref="X41" si="324">IF(U41="Server",-R41*AlcoholTipPercentage,0)+IF(U41="Bartender",HLOOKUP(T41,ThursBarTable,5)*O41)</f>
        <v>0</v>
      </c>
      <c r="Y41" s="7" t="str" cm="1">
        <f t="array" ref="Y41">IFERROR(_xlfn.IFS(HLOOKUP(T41,ThursFoodTable,2)=0,0,OR(U41="Server",U41="Bartender"),-Q41*FoodTipPercentage,OR(U41="Expo",U41="Food Runner"),HLOOKUP(T41,ThursFoodTable,5)*O41,U41="Host",0),"")</f>
        <v/>
      </c>
      <c r="Z41" s="7" t="str" cm="1">
        <f t="array" ref="Z41">IFERROR(_xlfn.IFS(HLOOKUP(T41,ThursHostTable,2)=0,0,OR(U41="Server",U41="Bartender"),-S41*HostTipPercentage,U41="Host",HLOOKUP(T41,ThursHostTable,5)*O41,OR(U41="Expo",U41="Food Runner"),0),"")</f>
        <v/>
      </c>
      <c r="AA41" s="9"/>
      <c r="AB41" s="10"/>
      <c r="AC41" s="9"/>
      <c r="AD41" s="9"/>
      <c r="AE41" s="9"/>
      <c r="AF41" s="38">
        <f t="shared" si="225"/>
        <v>0</v>
      </c>
      <c r="AG41" s="9"/>
      <c r="AH41" s="9"/>
      <c r="AI41" s="38">
        <f t="shared" ref="AI41" si="325">IF(AH41="Bartender",(HLOOKUP(AG41,SatFoodTable,6)*AB41)+(HLOOKUP(AG41,SatHostTable,6)*AB41)+AK41,SUM(AK41,AL41,AM41))</f>
        <v>0</v>
      </c>
      <c r="AJ41" s="38">
        <f t="shared" ref="AJ41" si="326">IFERROR(IF(AH41="Bartender",(HLOOKUP(AG41,SatBarTable,6)*AB41)+AI41,AC41+AI41),"")</f>
        <v>0</v>
      </c>
      <c r="AK41" s="7">
        <f t="shared" ref="AK41" si="327">IF(AH41="Server",-AE41*AlcoholTipPercentage,0)+IF(AH41="Bartender",HLOOKUP(AG41,SatBarTable,5)*AB41)</f>
        <v>0</v>
      </c>
      <c r="AL41" s="7" t="str" cm="1">
        <f t="array" ref="AL41">IFERROR(_xlfn.IFS(HLOOKUP(AG41,SatFoodTable,2)=0,0,OR(AH41="Server",AH41="Bartender"),-AD41*FoodTipPercentage,OR(AH41="Expo",AH41="Food Runner"),HLOOKUP(AG41,SatFoodTable,5)*AB41,AH41="Host",0),"")</f>
        <v/>
      </c>
      <c r="AM41" s="7" t="str" cm="1">
        <f t="array" ref="AM41">IFERROR(_xlfn.IFS(HLOOKUP(AG41,SatHostTable,2)=0,0,OR(AH41="Server",AH41="Bartender"),-AF41*HostTipPercentage,AH41="Host",HLOOKUP(AG41,SatHostTable,5)*AB41,OR(AH41="Expo",AH41="Food Runner"),0),"")</f>
        <v/>
      </c>
      <c r="AN41" s="18"/>
      <c r="AO41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1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1" s="7">
        <f>IFERROR(Table424789101112131418212325272325[[#This Row],[Weekly Tips]]/Table424789101112131418212325272325[[#This Row],[Hours]],0)</f>
        <v>0</v>
      </c>
      <c r="AR41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1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1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2" spans="1:47" ht="16" x14ac:dyDescent="0.2">
      <c r="A42" s="11"/>
      <c r="B42" s="12"/>
      <c r="C42" s="11"/>
      <c r="D42" s="11"/>
      <c r="E42" s="11"/>
      <c r="F42" s="37">
        <f t="shared" si="217"/>
        <v>0</v>
      </c>
      <c r="G42" s="11"/>
      <c r="H42" s="11"/>
      <c r="I42" s="2">
        <f t="shared" ref="I42" si="328">IF(H42="Bartender",(HLOOKUP(G42,TuesFoodTable,6)*B42)+(HLOOKUP(G42,TuesHostTable,6)*B42)+K42,SUM(K42,L42,M42))</f>
        <v>0</v>
      </c>
      <c r="J42" s="37">
        <f t="shared" ref="J42" si="329">IFERROR(IF(H42="Bartender",(HLOOKUP(G42,TuesBarTable,6)*B42)+I42,C42+I42),"")</f>
        <v>0</v>
      </c>
      <c r="K42" s="7">
        <f t="shared" ref="K42" si="330">IF(H42="Server",-E42*AlcoholTipPercentage,0)+IF(H42="Bartender",HLOOKUP(G42,TuesBarTable,5)*B42)</f>
        <v>0</v>
      </c>
      <c r="L42" s="7" t="str" cm="1">
        <f t="array" ref="L42">IFERROR(_xlfn.IFS(HLOOKUP(G42,TuesFoodTable,2)=0,0,OR(H42="Server",H42="Bartender"),-D42*FoodTipPercentage,OR(H42="Expo",H42="Food Runner"),HLOOKUP(G42,TuesFoodTable,5)*B42,H42="Host",0),"")</f>
        <v/>
      </c>
      <c r="M42" s="7" t="str" cm="1">
        <f t="array" ref="M42">IFERROR(_xlfn.IFS(HLOOKUP(G42,TuesHostTable,2)=0,0,OR(H42="Server",H42="Bartender"),-F42*HostTipPercentage,H42="Host",HLOOKUP(G42,TuesHostTable,5)*B42,OR(H42="Expo",H42="Food Runner"),0),"")</f>
        <v/>
      </c>
      <c r="N42" s="16"/>
      <c r="O42" s="17"/>
      <c r="P42" s="16"/>
      <c r="Q42" s="16"/>
      <c r="R42" s="16"/>
      <c r="S42" s="42">
        <f t="shared" si="221"/>
        <v>0</v>
      </c>
      <c r="T42" s="16"/>
      <c r="U42" s="16"/>
      <c r="V42" s="42">
        <f t="shared" ref="V42" si="331">IF(U42="Bartender",(HLOOKUP(T42,ThursFoodTable,6)*O42)+(HLOOKUP(T42,ThursHostTable,6)*O42)+X42,SUM(X42,Y42,Z42))</f>
        <v>0</v>
      </c>
      <c r="W42" s="42">
        <f t="shared" ref="W42" si="332">IFERROR(IF(U42="Bartender",(HLOOKUP(T42,ThursBarTable,6)*O42)+V42,P42+V42),"")</f>
        <v>0</v>
      </c>
      <c r="X42" s="7">
        <f t="shared" ref="X42" si="333">IF(U42="Server",-R42*AlcoholTipPercentage,0)+IF(U42="Bartender",HLOOKUP(T42,ThursBarTable,5)*O42)</f>
        <v>0</v>
      </c>
      <c r="Y42" s="7" t="str" cm="1">
        <f t="array" ref="Y42">IFERROR(_xlfn.IFS(HLOOKUP(T42,ThursFoodTable,2)=0,0,OR(U42="Server",U42="Bartender"),-Q42*FoodTipPercentage,OR(U42="Expo",U42="Food Runner"),HLOOKUP(T42,ThursFoodTable,5)*O42,U42="Host",0),"")</f>
        <v/>
      </c>
      <c r="Z42" s="7" t="str" cm="1">
        <f t="array" ref="Z42">IFERROR(_xlfn.IFS(HLOOKUP(T42,ThursHostTable,2)=0,0,OR(U42="Server",U42="Bartender"),-S42*HostTipPercentage,U42="Host",HLOOKUP(T42,ThursHostTable,5)*O42,OR(U42="Expo",U42="Food Runner"),0),"")</f>
        <v/>
      </c>
      <c r="AA42" s="9"/>
      <c r="AB42" s="10"/>
      <c r="AC42" s="9"/>
      <c r="AD42" s="9"/>
      <c r="AE42" s="9"/>
      <c r="AF42" s="38">
        <f t="shared" si="225"/>
        <v>0</v>
      </c>
      <c r="AG42" s="9"/>
      <c r="AH42" s="9"/>
      <c r="AI42" s="38">
        <f t="shared" ref="AI42" si="334">IF(AH42="Bartender",(HLOOKUP(AG42,SatFoodTable,6)*AB42)+(HLOOKUP(AG42,SatHostTable,6)*AB42)+AK42,SUM(AK42,AL42,AM42))</f>
        <v>0</v>
      </c>
      <c r="AJ42" s="38">
        <f t="shared" ref="AJ42" si="335">IFERROR(IF(AH42="Bartender",(HLOOKUP(AG42,SatBarTable,6)*AB42)+AI42,AC42+AI42),"")</f>
        <v>0</v>
      </c>
      <c r="AK42" s="7">
        <f t="shared" ref="AK42" si="336">IF(AH42="Server",-AE42*AlcoholTipPercentage,0)+IF(AH42="Bartender",HLOOKUP(AG42,SatBarTable,5)*AB42)</f>
        <v>0</v>
      </c>
      <c r="AL42" s="7" t="str" cm="1">
        <f t="array" ref="AL42">IFERROR(_xlfn.IFS(HLOOKUP(AG42,SatFoodTable,2)=0,0,OR(AH42="Server",AH42="Bartender"),-AD42*FoodTipPercentage,OR(AH42="Expo",AH42="Food Runner"),HLOOKUP(AG42,SatFoodTable,5)*AB42,AH42="Host",0),"")</f>
        <v/>
      </c>
      <c r="AM42" s="7" t="str" cm="1">
        <f t="array" ref="AM42">IFERROR(_xlfn.IFS(HLOOKUP(AG42,SatHostTable,2)=0,0,OR(AH42="Server",AH42="Bartender"),-AF42*HostTipPercentage,AH42="Host",HLOOKUP(AG42,SatHostTable,5)*AB42,OR(AH42="Expo",AH42="Food Runner"),0),"")</f>
        <v/>
      </c>
      <c r="AN42" s="18"/>
      <c r="AO42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2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2" s="7">
        <f>IFERROR(Table424789101112131418212325272325[[#This Row],[Weekly Tips]]/Table424789101112131418212325272325[[#This Row],[Hours]],0)</f>
        <v>0</v>
      </c>
      <c r="AR42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2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2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3" spans="1:47" ht="16" x14ac:dyDescent="0.2">
      <c r="A43" s="11"/>
      <c r="B43" s="12"/>
      <c r="C43" s="11"/>
      <c r="D43" s="11"/>
      <c r="E43" s="11"/>
      <c r="F43" s="37">
        <f t="shared" si="217"/>
        <v>0</v>
      </c>
      <c r="G43" s="11"/>
      <c r="H43" s="11"/>
      <c r="I43" s="2">
        <f t="shared" ref="I43" si="337">IF(H43="Bartender",(HLOOKUP(G43,TuesFoodTable,6)*B43)+(HLOOKUP(G43,TuesHostTable,6)*B43)+K43,SUM(K43,L43,M43))</f>
        <v>0</v>
      </c>
      <c r="J43" s="37">
        <f t="shared" ref="J43" si="338">IFERROR(IF(H43="Bartender",(HLOOKUP(G43,TuesBarTable,6)*B43)+I43,C43+I43),"")</f>
        <v>0</v>
      </c>
      <c r="K43" s="7">
        <f t="shared" ref="K43" si="339">IF(H43="Server",-E43*AlcoholTipPercentage,0)+IF(H43="Bartender",HLOOKUP(G43,TuesBarTable,5)*B43)</f>
        <v>0</v>
      </c>
      <c r="L43" s="7" t="str" cm="1">
        <f t="array" ref="L43">IFERROR(_xlfn.IFS(HLOOKUP(G43,TuesFoodTable,2)=0,0,OR(H43="Server",H43="Bartender"),-D43*FoodTipPercentage,OR(H43="Expo",H43="Food Runner"),HLOOKUP(G43,TuesFoodTable,5)*B43,H43="Host",0),"")</f>
        <v/>
      </c>
      <c r="M43" s="7" t="str" cm="1">
        <f t="array" ref="M43">IFERROR(_xlfn.IFS(HLOOKUP(G43,TuesHostTable,2)=0,0,OR(H43="Server",H43="Bartender"),-F43*HostTipPercentage,H43="Host",HLOOKUP(G43,TuesHostTable,5)*B43,OR(H43="Expo",H43="Food Runner"),0),"")</f>
        <v/>
      </c>
      <c r="N43" s="16"/>
      <c r="O43" s="17"/>
      <c r="P43" s="16"/>
      <c r="Q43" s="16"/>
      <c r="R43" s="16"/>
      <c r="S43" s="42">
        <f t="shared" si="221"/>
        <v>0</v>
      </c>
      <c r="T43" s="16"/>
      <c r="U43" s="16"/>
      <c r="V43" s="42">
        <f t="shared" ref="V43" si="340">IF(U43="Bartender",(HLOOKUP(T43,ThursFoodTable,6)*O43)+(HLOOKUP(T43,ThursHostTable,6)*O43)+X43,SUM(X43,Y43,Z43))</f>
        <v>0</v>
      </c>
      <c r="W43" s="42">
        <f t="shared" ref="W43" si="341">IFERROR(IF(U43="Bartender",(HLOOKUP(T43,ThursBarTable,6)*O43)+V43,P43+V43),"")</f>
        <v>0</v>
      </c>
      <c r="X43" s="7">
        <f t="shared" ref="X43" si="342">IF(U43="Server",-R43*AlcoholTipPercentage,0)+IF(U43="Bartender",HLOOKUP(T43,ThursBarTable,5)*O43)</f>
        <v>0</v>
      </c>
      <c r="Y43" s="7" t="str" cm="1">
        <f t="array" ref="Y43">IFERROR(_xlfn.IFS(HLOOKUP(T43,ThursFoodTable,2)=0,0,OR(U43="Server",U43="Bartender"),-Q43*FoodTipPercentage,OR(U43="Expo",U43="Food Runner"),HLOOKUP(T43,ThursFoodTable,5)*O43,U43="Host",0),"")</f>
        <v/>
      </c>
      <c r="Z43" s="7" t="str" cm="1">
        <f t="array" ref="Z43">IFERROR(_xlfn.IFS(HLOOKUP(T43,ThursHostTable,2)=0,0,OR(U43="Server",U43="Bartender"),-S43*HostTipPercentage,U43="Host",HLOOKUP(T43,ThursHostTable,5)*O43,OR(U43="Expo",U43="Food Runner"),0),"")</f>
        <v/>
      </c>
      <c r="AA43" s="9"/>
      <c r="AB43" s="10"/>
      <c r="AC43" s="9"/>
      <c r="AD43" s="9"/>
      <c r="AE43" s="9"/>
      <c r="AF43" s="38">
        <f t="shared" si="225"/>
        <v>0</v>
      </c>
      <c r="AG43" s="9"/>
      <c r="AH43" s="9"/>
      <c r="AI43" s="38">
        <f t="shared" ref="AI43" si="343">IF(AH43="Bartender",(HLOOKUP(AG43,SatFoodTable,6)*AB43)+(HLOOKUP(AG43,SatHostTable,6)*AB43)+AK43,SUM(AK43,AL43,AM43))</f>
        <v>0</v>
      </c>
      <c r="AJ43" s="38">
        <f t="shared" ref="AJ43" si="344">IFERROR(IF(AH43="Bartender",(HLOOKUP(AG43,SatBarTable,6)*AB43)+AI43,AC43+AI43),"")</f>
        <v>0</v>
      </c>
      <c r="AK43" s="7">
        <f t="shared" ref="AK43" si="345">IF(AH43="Server",-AE43*AlcoholTipPercentage,0)+IF(AH43="Bartender",HLOOKUP(AG43,SatBarTable,5)*AB43)</f>
        <v>0</v>
      </c>
      <c r="AL43" s="7" t="str" cm="1">
        <f t="array" ref="AL43">IFERROR(_xlfn.IFS(HLOOKUP(AG43,SatFoodTable,2)=0,0,OR(AH43="Server",AH43="Bartender"),-AD43*FoodTipPercentage,OR(AH43="Expo",AH43="Food Runner"),HLOOKUP(AG43,SatFoodTable,5)*AB43,AH43="Host",0),"")</f>
        <v/>
      </c>
      <c r="AM43" s="7" t="str" cm="1">
        <f t="array" ref="AM43">IFERROR(_xlfn.IFS(HLOOKUP(AG43,SatHostTable,2)=0,0,OR(AH43="Server",AH43="Bartender"),-AF43*HostTipPercentage,AH43="Host",HLOOKUP(AG43,SatHostTable,5)*AB43,OR(AH43="Expo",AH43="Food Runner"),0),"")</f>
        <v/>
      </c>
      <c r="AN43" s="18"/>
      <c r="AO43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3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3" s="7">
        <f>IFERROR(Table424789101112131418212325272325[[#This Row],[Weekly Tips]]/Table424789101112131418212325272325[[#This Row],[Hours]],0)</f>
        <v>0</v>
      </c>
      <c r="AR43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3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3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4" spans="1:47" ht="16" x14ac:dyDescent="0.2">
      <c r="A44" s="11"/>
      <c r="B44" s="12"/>
      <c r="C44" s="11"/>
      <c r="D44" s="11"/>
      <c r="E44" s="11"/>
      <c r="F44" s="37">
        <f t="shared" si="217"/>
        <v>0</v>
      </c>
      <c r="G44" s="11"/>
      <c r="H44" s="11"/>
      <c r="I44" s="2">
        <f t="shared" ref="I44" si="346">IF(H44="Bartender",(HLOOKUP(G44,TuesFoodTable,6)*B44)+(HLOOKUP(G44,TuesHostTable,6)*B44)+K44,SUM(K44,L44,M44))</f>
        <v>0</v>
      </c>
      <c r="J44" s="37">
        <f t="shared" ref="J44" si="347">IFERROR(IF(H44="Bartender",(HLOOKUP(G44,TuesBarTable,6)*B44)+I44,C44+I44),"")</f>
        <v>0</v>
      </c>
      <c r="K44" s="7">
        <f t="shared" ref="K44" si="348">IF(H44="Server",-E44*AlcoholTipPercentage,0)+IF(H44="Bartender",HLOOKUP(G44,TuesBarTable,5)*B44)</f>
        <v>0</v>
      </c>
      <c r="L44" s="7" t="str" cm="1">
        <f t="array" ref="L44">IFERROR(_xlfn.IFS(HLOOKUP(G44,TuesFoodTable,2)=0,0,OR(H44="Server",H44="Bartender"),-D44*FoodTipPercentage,OR(H44="Expo",H44="Food Runner"),HLOOKUP(G44,TuesFoodTable,5)*B44,H44="Host",0),"")</f>
        <v/>
      </c>
      <c r="M44" s="7" t="str" cm="1">
        <f t="array" ref="M44">IFERROR(_xlfn.IFS(HLOOKUP(G44,TuesHostTable,2)=0,0,OR(H44="Server",H44="Bartender"),-F44*HostTipPercentage,H44="Host",HLOOKUP(G44,TuesHostTable,5)*B44,OR(H44="Expo",H44="Food Runner"),0),"")</f>
        <v/>
      </c>
      <c r="N44" s="16"/>
      <c r="O44" s="17"/>
      <c r="P44" s="16"/>
      <c r="Q44" s="16"/>
      <c r="R44" s="16"/>
      <c r="S44" s="42">
        <f t="shared" si="221"/>
        <v>0</v>
      </c>
      <c r="T44" s="16"/>
      <c r="U44" s="16"/>
      <c r="V44" s="42">
        <f t="shared" ref="V44" si="349">IF(U44="Bartender",(HLOOKUP(T44,ThursFoodTable,6)*O44)+(HLOOKUP(T44,ThursHostTable,6)*O44)+X44,SUM(X44,Y44,Z44))</f>
        <v>0</v>
      </c>
      <c r="W44" s="42">
        <f t="shared" ref="W44" si="350">IFERROR(IF(U44="Bartender",(HLOOKUP(T44,ThursBarTable,6)*O44)+V44,P44+V44),"")</f>
        <v>0</v>
      </c>
      <c r="X44" s="7">
        <f t="shared" ref="X44" si="351">IF(U44="Server",-R44*AlcoholTipPercentage,0)+IF(U44="Bartender",HLOOKUP(T44,ThursBarTable,5)*O44)</f>
        <v>0</v>
      </c>
      <c r="Y44" s="7" t="str" cm="1">
        <f t="array" ref="Y44">IFERROR(_xlfn.IFS(HLOOKUP(T44,ThursFoodTable,2)=0,0,OR(U44="Server",U44="Bartender"),-Q44*FoodTipPercentage,OR(U44="Expo",U44="Food Runner"),HLOOKUP(T44,ThursFoodTable,5)*O44,U44="Host",0),"")</f>
        <v/>
      </c>
      <c r="Z44" s="7" t="str" cm="1">
        <f t="array" ref="Z44">IFERROR(_xlfn.IFS(HLOOKUP(T44,ThursHostTable,2)=0,0,OR(U44="Server",U44="Bartender"),-S44*HostTipPercentage,U44="Host",HLOOKUP(T44,ThursHostTable,5)*O44,OR(U44="Expo",U44="Food Runner"),0),"")</f>
        <v/>
      </c>
      <c r="AA44" s="9"/>
      <c r="AB44" s="10"/>
      <c r="AC44" s="9"/>
      <c r="AD44" s="9"/>
      <c r="AE44" s="9"/>
      <c r="AF44" s="38">
        <f t="shared" si="225"/>
        <v>0</v>
      </c>
      <c r="AG44" s="9"/>
      <c r="AH44" s="9"/>
      <c r="AI44" s="38">
        <f t="shared" ref="AI44" si="352">IF(AH44="Bartender",(HLOOKUP(AG44,SatFoodTable,6)*AB44)+(HLOOKUP(AG44,SatHostTable,6)*AB44)+AK44,SUM(AK44,AL44,AM44))</f>
        <v>0</v>
      </c>
      <c r="AJ44" s="38">
        <f t="shared" ref="AJ44" si="353">IFERROR(IF(AH44="Bartender",(HLOOKUP(AG44,SatBarTable,6)*AB44)+AI44,AC44+AI44),"")</f>
        <v>0</v>
      </c>
      <c r="AK44" s="7">
        <f t="shared" ref="AK44" si="354">IF(AH44="Server",-AE44*AlcoholTipPercentage,0)+IF(AH44="Bartender",HLOOKUP(AG44,SatBarTable,5)*AB44)</f>
        <v>0</v>
      </c>
      <c r="AL44" s="7" t="str" cm="1">
        <f t="array" ref="AL44">IFERROR(_xlfn.IFS(HLOOKUP(AG44,SatFoodTable,2)=0,0,OR(AH44="Server",AH44="Bartender"),-AD44*FoodTipPercentage,OR(AH44="Expo",AH44="Food Runner"),HLOOKUP(AG44,SatFoodTable,5)*AB44,AH44="Host",0),"")</f>
        <v/>
      </c>
      <c r="AM44" s="7" t="str" cm="1">
        <f t="array" ref="AM44">IFERROR(_xlfn.IFS(HLOOKUP(AG44,SatHostTable,2)=0,0,OR(AH44="Server",AH44="Bartender"),-AF44*HostTipPercentage,AH44="Host",HLOOKUP(AG44,SatHostTable,5)*AB44,OR(AH44="Expo",AH44="Food Runner"),0),"")</f>
        <v/>
      </c>
      <c r="AN44" s="18"/>
      <c r="AO44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4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4" s="7">
        <f>IFERROR(Table424789101112131418212325272325[[#This Row],[Weekly Tips]]/Table424789101112131418212325272325[[#This Row],[Hours]],0)</f>
        <v>0</v>
      </c>
      <c r="AR44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4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4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5" spans="1:47" ht="16" x14ac:dyDescent="0.2">
      <c r="A45" s="11"/>
      <c r="B45" s="12"/>
      <c r="C45" s="11"/>
      <c r="D45" s="11"/>
      <c r="E45" s="11"/>
      <c r="F45" s="37">
        <f t="shared" si="217"/>
        <v>0</v>
      </c>
      <c r="G45" s="11"/>
      <c r="H45" s="11"/>
      <c r="I45" s="2">
        <f t="shared" ref="I45" si="355">IF(H45="Bartender",(HLOOKUP(G45,TuesFoodTable,6)*B45)+(HLOOKUP(G45,TuesHostTable,6)*B45)+K45,SUM(K45,L45,M45))</f>
        <v>0</v>
      </c>
      <c r="J45" s="37">
        <f t="shared" ref="J45" si="356">IFERROR(IF(H45="Bartender",(HLOOKUP(G45,TuesBarTable,6)*B45)+I45,C45+I45),"")</f>
        <v>0</v>
      </c>
      <c r="K45" s="7">
        <f t="shared" ref="K45" si="357">IF(H45="Server",-E45*AlcoholTipPercentage,0)+IF(H45="Bartender",HLOOKUP(G45,TuesBarTable,5)*B45)</f>
        <v>0</v>
      </c>
      <c r="L45" s="7" t="str" cm="1">
        <f t="array" ref="L45">IFERROR(_xlfn.IFS(HLOOKUP(G45,TuesFoodTable,2)=0,0,OR(H45="Server",H45="Bartender"),-D45*FoodTipPercentage,OR(H45="Expo",H45="Food Runner"),HLOOKUP(G45,TuesFoodTable,5)*B45,H45="Host",0),"")</f>
        <v/>
      </c>
      <c r="M45" s="7" t="str" cm="1">
        <f t="array" ref="M45">IFERROR(_xlfn.IFS(HLOOKUP(G45,TuesHostTable,2)=0,0,OR(H45="Server",H45="Bartender"),-F45*HostTipPercentage,H45="Host",HLOOKUP(G45,TuesHostTable,5)*B45,OR(H45="Expo",H45="Food Runner"),0),"")</f>
        <v/>
      </c>
      <c r="N45" s="16"/>
      <c r="O45" s="17"/>
      <c r="P45" s="16"/>
      <c r="Q45" s="16"/>
      <c r="R45" s="16"/>
      <c r="S45" s="42">
        <f t="shared" si="221"/>
        <v>0</v>
      </c>
      <c r="T45" s="16"/>
      <c r="U45" s="16"/>
      <c r="V45" s="42">
        <f t="shared" ref="V45" si="358">IF(U45="Bartender",(HLOOKUP(T45,ThursFoodTable,6)*O45)+(HLOOKUP(T45,ThursHostTable,6)*O45)+X45,SUM(X45,Y45,Z45))</f>
        <v>0</v>
      </c>
      <c r="W45" s="42">
        <f t="shared" ref="W45" si="359">IFERROR(IF(U45="Bartender",(HLOOKUP(T45,ThursBarTable,6)*O45)+V45,P45+V45),"")</f>
        <v>0</v>
      </c>
      <c r="X45" s="7">
        <f t="shared" ref="X45" si="360">IF(U45="Server",-R45*AlcoholTipPercentage,0)+IF(U45="Bartender",HLOOKUP(T45,ThursBarTable,5)*O45)</f>
        <v>0</v>
      </c>
      <c r="Y45" s="7" t="str" cm="1">
        <f t="array" ref="Y45">IFERROR(_xlfn.IFS(HLOOKUP(T45,ThursFoodTable,2)=0,0,OR(U45="Server",U45="Bartender"),-Q45*FoodTipPercentage,OR(U45="Expo",U45="Food Runner"),HLOOKUP(T45,ThursFoodTable,5)*O45,U45="Host",0),"")</f>
        <v/>
      </c>
      <c r="Z45" s="7" t="str" cm="1">
        <f t="array" ref="Z45">IFERROR(_xlfn.IFS(HLOOKUP(T45,ThursHostTable,2)=0,0,OR(U45="Server",U45="Bartender"),-S45*HostTipPercentage,U45="Host",HLOOKUP(T45,ThursHostTable,5)*O45,OR(U45="Expo",U45="Food Runner"),0),"")</f>
        <v/>
      </c>
      <c r="AA45" s="9"/>
      <c r="AB45" s="10"/>
      <c r="AC45" s="9"/>
      <c r="AD45" s="9"/>
      <c r="AE45" s="9"/>
      <c r="AF45" s="38">
        <f t="shared" si="225"/>
        <v>0</v>
      </c>
      <c r="AG45" s="9"/>
      <c r="AH45" s="9"/>
      <c r="AI45" s="38">
        <f t="shared" ref="AI45" si="361">IF(AH45="Bartender",(HLOOKUP(AG45,SatFoodTable,6)*AB45)+(HLOOKUP(AG45,SatHostTable,6)*AB45)+AK45,SUM(AK45,AL45,AM45))</f>
        <v>0</v>
      </c>
      <c r="AJ45" s="38">
        <f t="shared" ref="AJ45" si="362">IFERROR(IF(AH45="Bartender",(HLOOKUP(AG45,SatBarTable,6)*AB45)+AI45,AC45+AI45),"")</f>
        <v>0</v>
      </c>
      <c r="AK45" s="7">
        <f t="shared" ref="AK45" si="363">IF(AH45="Server",-AE45*AlcoholTipPercentage,0)+IF(AH45="Bartender",HLOOKUP(AG45,SatBarTable,5)*AB45)</f>
        <v>0</v>
      </c>
      <c r="AL45" s="7" t="str" cm="1">
        <f t="array" ref="AL45">IFERROR(_xlfn.IFS(HLOOKUP(AG45,SatFoodTable,2)=0,0,OR(AH45="Server",AH45="Bartender"),-AD45*FoodTipPercentage,OR(AH45="Expo",AH45="Food Runner"),HLOOKUP(AG45,SatFoodTable,5)*AB45,AH45="Host",0),"")</f>
        <v/>
      </c>
      <c r="AM45" s="7" t="str" cm="1">
        <f t="array" ref="AM45">IFERROR(_xlfn.IFS(HLOOKUP(AG45,SatHostTable,2)=0,0,OR(AH45="Server",AH45="Bartender"),-AF45*HostTipPercentage,AH45="Host",HLOOKUP(AG45,SatHostTable,5)*AB45,OR(AH45="Expo",AH45="Food Runner"),0),"")</f>
        <v/>
      </c>
      <c r="AN45" s="18"/>
      <c r="AO45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5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5" s="7">
        <f>IFERROR(Table424789101112131418212325272325[[#This Row],[Weekly Tips]]/Table424789101112131418212325272325[[#This Row],[Hours]],0)</f>
        <v>0</v>
      </c>
      <c r="AR45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5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5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6" spans="1:47" ht="16" x14ac:dyDescent="0.2">
      <c r="AK46" s="7">
        <f>SUM(AK29:AK45)</f>
        <v>0</v>
      </c>
      <c r="AL46" s="7">
        <f>SUM(AL29:AL45)</f>
        <v>0</v>
      </c>
      <c r="AM46" s="7">
        <f>SUM(AM29:AM45)</f>
        <v>0</v>
      </c>
      <c r="AN46" s="18"/>
      <c r="AO46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6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6" s="7">
        <f>IFERROR(Table424789101112131418212325272325[[#This Row],[Weekly Tips]]/Table424789101112131418212325272325[[#This Row],[Hours]],0)</f>
        <v>0</v>
      </c>
      <c r="AR46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6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6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7" spans="1:47" ht="16" x14ac:dyDescent="0.2">
      <c r="AN47" s="18"/>
      <c r="AO47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7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7" s="7">
        <f>IFERROR(Table424789101112131418212325272325[[#This Row],[Weekly Tips]]/Table424789101112131418212325272325[[#This Row],[Hours]],0)</f>
        <v>0</v>
      </c>
      <c r="AR47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7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7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8" spans="1:47" ht="16" x14ac:dyDescent="0.2">
      <c r="AN48" s="18"/>
      <c r="AO48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8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8" s="7">
        <f>IFERROR(Table424789101112131418212325272325[[#This Row],[Weekly Tips]]/Table424789101112131418212325272325[[#This Row],[Hours]],0)</f>
        <v>0</v>
      </c>
      <c r="AR48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8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8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49" spans="1:47" ht="16" x14ac:dyDescent="0.2">
      <c r="AN49" s="18"/>
      <c r="AO49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49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49" s="7">
        <f>IFERROR(Table424789101112131418212325272325[[#This Row],[Weekly Tips]]/Table424789101112131418212325272325[[#This Row],[Hours]],0)</f>
        <v>0</v>
      </c>
      <c r="AR49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49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49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0" spans="1:47" ht="16" x14ac:dyDescent="0.2">
      <c r="AN50" s="18"/>
      <c r="AO50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0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0" s="7">
        <f>IFERROR(Table424789101112131418212325272325[[#This Row],[Weekly Tips]]/Table424789101112131418212325272325[[#This Row],[Hours]],0)</f>
        <v>0</v>
      </c>
      <c r="AR50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0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0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1" spans="1:47" ht="16" x14ac:dyDescent="0.2">
      <c r="AN51" s="18"/>
      <c r="AO51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1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1" s="7">
        <f>IFERROR(Table424789101112131418212325272325[[#This Row],[Weekly Tips]]/Table424789101112131418212325272325[[#This Row],[Hours]],0)</f>
        <v>0</v>
      </c>
      <c r="AR51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1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1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2" spans="1:47" ht="16" x14ac:dyDescent="0.2">
      <c r="AN52" s="18"/>
      <c r="AO52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2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2" s="7">
        <f>IFERROR(Table424789101112131418212325272325[[#This Row],[Weekly Tips]]/Table424789101112131418212325272325[[#This Row],[Hours]],0)</f>
        <v>0</v>
      </c>
      <c r="AR52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2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2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3" spans="1:47" ht="16" x14ac:dyDescent="0.2">
      <c r="AN53" s="18"/>
      <c r="AO53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3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3" s="7">
        <f>IFERROR(Table424789101112131418212325272325[[#This Row],[Weekly Tips]]/Table424789101112131418212325272325[[#This Row],[Hours]],0)</f>
        <v>0</v>
      </c>
      <c r="AR53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3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3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4" spans="1:47" ht="16" x14ac:dyDescent="0.2">
      <c r="AN54" s="18"/>
      <c r="AO54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4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4" s="7">
        <f>IFERROR(Table424789101112131418212325272325[[#This Row],[Weekly Tips]]/Table424789101112131418212325272325[[#This Row],[Hours]],0)</f>
        <v>0</v>
      </c>
      <c r="AR54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4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4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5" spans="1:47" ht="16" x14ac:dyDescent="0.2">
      <c r="AN55" s="18"/>
      <c r="AO55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5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5" s="7">
        <f>IFERROR(Table424789101112131418212325272325[[#This Row],[Weekly Tips]]/Table424789101112131418212325272325[[#This Row],[Hours]],0)</f>
        <v>0</v>
      </c>
      <c r="AR55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5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5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6" spans="1:47" ht="16" x14ac:dyDescent="0.2">
      <c r="AN56" s="18"/>
      <c r="AO56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6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6" s="7">
        <f>IFERROR(Table424789101112131418212325272325[[#This Row],[Weekly Tips]]/Table424789101112131418212325272325[[#This Row],[Hours]],0)</f>
        <v>0</v>
      </c>
      <c r="AR56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6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6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7" spans="1:47" ht="16" x14ac:dyDescent="0.2">
      <c r="AN57" s="18"/>
      <c r="AO57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7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7" s="7">
        <f>IFERROR(Table424789101112131418212325272325[[#This Row],[Weekly Tips]]/Table424789101112131418212325272325[[#This Row],[Hours]],0)</f>
        <v>0</v>
      </c>
      <c r="AR57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7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7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8" spans="1:47" ht="16" x14ac:dyDescent="0.2">
      <c r="AN58" s="18"/>
      <c r="AO58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8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8" s="7">
        <f>IFERROR(Table424789101112131418212325272325[[#This Row],[Weekly Tips]]/Table424789101112131418212325272325[[#This Row],[Hours]],0)</f>
        <v>0</v>
      </c>
      <c r="AR58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8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8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59" spans="1:47" ht="15" customHeight="1" x14ac:dyDescent="0.2">
      <c r="AN59" s="18"/>
      <c r="AO59" s="19">
        <f>IFERROR(SUMIF(SunNames,Table424789101112131418212325272325[[#This Row],[Name]],SunHours)+SUMIF(MonNames,Table424789101112131418212325272325[[#This Row],[Name]],MonHours)+SUMIF(TuesNames,Table424789101112131418212325272325[[#This Row],[Name]],TuesHours)+SUMIF(WedNames,Table424789101112131418212325272325[[#This Row],[Name]],WedHours)+SUMIF(ThursNames,Table424789101112131418212325272325[[#This Row],[Name]],ThursHours)+SUMIF(FriNames,Table424789101112131418212325272325[[#This Row],[Name]],FriHours)+SUMIF(SatNames,Table424789101112131418212325272325[[#This Row],[Name]],SatHours),"")</f>
        <v>0</v>
      </c>
      <c r="AP59" s="20">
        <f>SUMIF(SunNames,Table424789101112131418212325272325[[#This Row],[Name]],SunTakeHome)+SUMIF(MonNames,Table424789101112131418212325272325[[#This Row],[Name]],MonTakeHome)+SUMIF(TuesNames,Table424789101112131418212325272325[[#This Row],[Name]],TuesTakeHome)+SUMIF(WedNames,Table424789101112131418212325272325[[#This Row],[Name]],WedTakeHome)+SUMIF(ThursNames,Table424789101112131418212325272325[[#This Row],[Name]],ThursTakeHome)+SUMIF(FriNames,Table424789101112131418212325272325[[#This Row],[Name]],FriTakeHome)+SUMIF(SatNames,Table424789101112131418212325272325[[#This Row],[Name]],SatTakeHome)</f>
        <v>0</v>
      </c>
      <c r="AQ59" s="7">
        <f>IFERROR(Table424789101112131418212325272325[[#This Row],[Weekly Tips]]/Table424789101112131418212325272325[[#This Row],[Hours]],0)</f>
        <v>0</v>
      </c>
      <c r="AR59" s="7">
        <f>SUMIF(SunNames,Table424789101112131418212325272325[[#This Row],[Name]],SunFood)+SUMIF(MonNames,Table424789101112131418212325272325[[#This Row],[Name]],MonFood)+SUMIF(TuesNames,Table424789101112131418212325272325[[#This Row],[Name]],TuesFood)+SUMIF(WedNames,Table424789101112131418212325272325[[#This Row],[Name]],WedFood)+SUMIF(ThursNames,Table424789101112131418212325272325[[#This Row],[Name]],ThursFood)+SUMIF(FriNames,Table424789101112131418212325272325[[#This Row],[Name]],FriFood)+SUMIF(SatNames,Table424789101112131418212325272325[[#This Row],[Name]],SatFood)</f>
        <v>0</v>
      </c>
      <c r="AS59" s="7">
        <f>SUMIF(SunNames,Table424789101112131418212325272325[[#This Row],[Name]],SunAlcohol)+SUMIF(MonNames,Table424789101112131418212325272325[[#This Row],[Name]],MonAlcohol)+SUMIF(TuesNames,Table424789101112131418212325272325[[#This Row],[Name]],TuesAlcohol)+SUMIF(WedNames,Table424789101112131418212325272325[[#This Row],[Name]],WedAlcohol)+SUMIF(ThursNames,Table424789101112131418212325272325[[#This Row],[Name]],ThursAlcohol)+SUMIF(FriNames,Table424789101112131418212325272325[[#This Row],[Name]],FriAlcohol)+SUMIF(SatNames,Table424789101112131418212325272325[[#This Row],[Name]],SatAlcohol)</f>
        <v>0</v>
      </c>
      <c r="AT59" s="7">
        <f>SUMIF(SunNames,Table424789101112131418212325272325[[#This Row],[Name]],SunTotal)+SUMIF(MonNames,Table424789101112131418212325272325[[#This Row],[Name]],MonTotal)+SUMIF(TuesNames,Table424789101112131418212325272325[[#This Row],[Name]],TuesTotal)+SUMIF(WedNames,Table424789101112131418212325272325[[#This Row],[Name]],WedTotal)+SUMIF(ThursNames,Table424789101112131418212325272325[[#This Row],[Name]],ThursTotal)+SUMIF(FriNames,Table424789101112131418212325272325[[#This Row],[Name]],FriTotal)+SUMIF(SatNames,Table424789101112131418212325272325[[#This Row],[Name]],SatTotal)</f>
        <v>0</v>
      </c>
    </row>
    <row r="60" spans="1:47" hidden="1" x14ac:dyDescent="0.2">
      <c r="AN60" s="21" t="s">
        <v>5</v>
      </c>
      <c r="AO60" s="22">
        <f>SUBTOTAL(109,Table424789101112131418212325272325[Hours])</f>
        <v>403</v>
      </c>
      <c r="AP60" s="23" t="s">
        <v>45</v>
      </c>
      <c r="AQ60" s="53">
        <f ca="1">SUBTOTAL(101,Table424789101112131418212325272325[Hourly])</f>
        <v>7.4540780626024405</v>
      </c>
      <c r="AR60" s="53">
        <f>SUBTOTAL(109,Table424789101112131418212325272325[Food])</f>
        <v>31261.65</v>
      </c>
      <c r="AS60" s="53">
        <f>SUBTOTAL(109,Table424789101112131418212325272325[Alcohol])</f>
        <v>20374.66</v>
      </c>
      <c r="AT60" s="53">
        <f>SUBTOTAL(109,Table424789101112131418212325272325[Total])</f>
        <v>51636.31</v>
      </c>
      <c r="AU60" s="21"/>
    </row>
    <row r="61" spans="1:47" hidden="1" x14ac:dyDescent="0.2">
      <c r="A61" s="7" t="s">
        <v>15</v>
      </c>
      <c r="B61" s="13" t="s">
        <v>15</v>
      </c>
      <c r="C61" s="7" t="s">
        <v>26</v>
      </c>
      <c r="D61" s="7" t="s">
        <v>33</v>
      </c>
      <c r="E61" s="7" t="s">
        <v>30</v>
      </c>
      <c r="I61" s="7" t="s">
        <v>34</v>
      </c>
      <c r="K61" s="7">
        <f>SUM(K29:K45)</f>
        <v>1.7763568394002505E-15</v>
      </c>
      <c r="L61" s="7">
        <f>SUM(L29:L45)</f>
        <v>0</v>
      </c>
      <c r="M61" s="7">
        <f ca="1">SUM(M29:M45)</f>
        <v>0</v>
      </c>
      <c r="N61" s="7" t="s">
        <v>15</v>
      </c>
      <c r="O61" s="13" t="s">
        <v>15</v>
      </c>
      <c r="P61" s="7" t="s">
        <v>26</v>
      </c>
      <c r="Q61" s="7" t="s">
        <v>33</v>
      </c>
      <c r="R61" s="7" t="s">
        <v>30</v>
      </c>
      <c r="V61" s="7" t="s">
        <v>34</v>
      </c>
      <c r="X61" s="7">
        <f>SUM(X29:X45)</f>
        <v>0</v>
      </c>
      <c r="Y61" s="7">
        <f ca="1">SUM(Y29:Y45)</f>
        <v>0</v>
      </c>
      <c r="Z61" s="7">
        <f ca="1">SUM(Z29:Z45)</f>
        <v>1.7763568394002505E-15</v>
      </c>
      <c r="AA61" s="7" t="s">
        <v>15</v>
      </c>
      <c r="AB61" s="13" t="s">
        <v>15</v>
      </c>
      <c r="AC61" s="7" t="s">
        <v>26</v>
      </c>
      <c r="AD61" s="7" t="s">
        <v>33</v>
      </c>
      <c r="AE61" s="7" t="s">
        <v>30</v>
      </c>
      <c r="AI61" s="7" t="s">
        <v>34</v>
      </c>
    </row>
    <row r="62" spans="1:47" hidden="1" x14ac:dyDescent="0.2">
      <c r="A62" s="7" t="s">
        <v>14</v>
      </c>
      <c r="B62" s="13" t="s">
        <v>20</v>
      </c>
      <c r="C62" s="7" t="s">
        <v>14</v>
      </c>
      <c r="D62" s="7" t="s">
        <v>20</v>
      </c>
      <c r="E62" s="7" t="s">
        <v>14</v>
      </c>
      <c r="F62" s="7" t="s">
        <v>20</v>
      </c>
      <c r="N62" s="7" t="s">
        <v>14</v>
      </c>
      <c r="O62" s="13" t="s">
        <v>20</v>
      </c>
      <c r="P62" s="7" t="s">
        <v>14</v>
      </c>
      <c r="Q62" s="7" t="s">
        <v>20</v>
      </c>
      <c r="R62" s="7" t="s">
        <v>14</v>
      </c>
      <c r="S62" s="7" t="s">
        <v>20</v>
      </c>
      <c r="AA62" s="7" t="s">
        <v>14</v>
      </c>
      <c r="AB62" s="13" t="s">
        <v>20</v>
      </c>
      <c r="AC62" s="7" t="s">
        <v>14</v>
      </c>
      <c r="AD62" s="7" t="s">
        <v>20</v>
      </c>
      <c r="AE62" s="7" t="s">
        <v>14</v>
      </c>
      <c r="AF62" s="7" t="s">
        <v>20</v>
      </c>
    </row>
    <row r="63" spans="1:47" hidden="1" x14ac:dyDescent="0.2">
      <c r="A63" s="7">
        <f>SUMIFS(Sample!TuesHours,Sample!TuesAMPM,A62,Sample!TuesJobCode,"Bartender")</f>
        <v>8</v>
      </c>
      <c r="B63" s="13">
        <f>SUMIFS(Sample!TuesHours,Sample!TuesAMPM,B62,Sample!TuesJobCode,"Bartender")</f>
        <v>8</v>
      </c>
      <c r="C63" s="7">
        <f>SUMIFS(Sample!TuesHours,Sample!TuesAMPM,C62,Sample!TuesJobCode,"Food Runner")+SUMIFS(Sample!TuesHours,Sample!TuesAMPM,C62,Sample!TuesJobCode,"Expo")</f>
        <v>0</v>
      </c>
      <c r="D63" s="7">
        <f>SUMIFS(Sample!TuesHours,Sample!TuesAMPM,D62,Sample!TuesJobCode,"Food Runner")+SUMIFS(Sample!TuesHours,Sample!TuesAMPM,D62,Sample!TuesJobCode,"Expo")</f>
        <v>0</v>
      </c>
      <c r="E63" s="7">
        <f>SUMIFS(Sample!TuesHours,Sample!TuesAMPM,E62,Sample!TuesJobCode,"Host")</f>
        <v>6</v>
      </c>
      <c r="F63" s="7">
        <f>SUMIFS(Sample!TuesHours,Sample!TuesAMPM,F62,Sample!TuesJobCode,"Host")</f>
        <v>6</v>
      </c>
      <c r="G63" s="7" t="s">
        <v>35</v>
      </c>
      <c r="N63" s="7">
        <f>SUMIFS(Sample!ThursHours,Sample!ThursAMPM,N62,Sample!ThursJobCode,"Bartender")</f>
        <v>8</v>
      </c>
      <c r="O63" s="13">
        <f>SUMIFS(Sample!ThursHours,Sample!ThursAMPM,O62,Sample!ThursJobCode,"Bartender")</f>
        <v>7</v>
      </c>
      <c r="P63" s="7">
        <f>SUMIFS(Sample!ThursHours,Sample!ThursAMPM,P62,Sample!ThursJobCode,"Food Runner")+SUMIFS(Sample!ThursHours,Sample!ThursAMPM,P62,Sample!ThursJobCode,"Expo")</f>
        <v>0</v>
      </c>
      <c r="Q63" s="7">
        <f>SUMIFS(Sample!ThursHours,Sample!ThursAMPM,Q62,Sample!ThursJobCode,"Food Runner")+SUMIFS(Sample!ThursHours,Sample!ThursAMPM,Q62,Sample!ThursJobCode,"Expo")</f>
        <v>4</v>
      </c>
      <c r="R63" s="7">
        <f>SUMIFS(Sample!ThursHours,Sample!ThursAMPM,R62,Sample!ThursJobCode,"Host")</f>
        <v>5</v>
      </c>
      <c r="S63" s="7">
        <f>SUMIFS(Sample!ThursHours,Sample!ThursAMPM,S62,Sample!ThursJobCode,"Host")</f>
        <v>7</v>
      </c>
      <c r="T63" s="7" t="s">
        <v>35</v>
      </c>
      <c r="AA63" s="7">
        <f>SUMIFS(Sample!SatHours,Sample!SatAMPM,AA62,Sample!SatJobCode,"Bartender")</f>
        <v>0</v>
      </c>
      <c r="AB63" s="13">
        <f>SUMIFS(Sample!SatHours,Sample!SatAMPM,AB62,Sample!SatJobCode,"Bartender")</f>
        <v>0</v>
      </c>
      <c r="AC63" s="7">
        <f>SUMIFS(Sample!SatHours,Sample!SatAMPM,AC62,Sample!SatJobCode,"Food Runner")+SUMIFS(Sample!SatHours,Sample!SatAMPM,AC62,Sample!SatJobCode,"Expo")</f>
        <v>0</v>
      </c>
      <c r="AD63" s="7">
        <f>SUMIFS(Sample!SatHours,Sample!SatAMPM,AD62,Sample!SatJobCode,"Food Runner")+SUMIFS(Sample!SatHours,Sample!SatAMPM,AD62,Sample!SatJobCode,"Expo")</f>
        <v>0</v>
      </c>
      <c r="AE63" s="7">
        <f>SUMIFS(Sample!SatHours,Sample!SatAMPM,AE62,Sample!SatJobCode,"Host")</f>
        <v>0</v>
      </c>
      <c r="AF63" s="7">
        <f>SUMIFS(Sample!SatHours,Sample!SatAMPM,AF62,Sample!SatJobCode,"Host")</f>
        <v>0</v>
      </c>
      <c r="AG63" s="7" t="s">
        <v>35</v>
      </c>
    </row>
    <row r="64" spans="1:47" hidden="1" x14ac:dyDescent="0.2">
      <c r="A64" s="7">
        <f>SUMIFS(TuesAlcTipout,Sample!TuesAMPM,A62,Sample!TuesJobCode,"&lt;&gt;Bartender")*-1</f>
        <v>9</v>
      </c>
      <c r="B64" s="66">
        <f>SUMIFS(TuesAlcTipout,Sample!TuesAMPM,B62,Sample!TuesJobCode,"&lt;&gt;Bartender")*-1</f>
        <v>42.18</v>
      </c>
      <c r="C64" s="7">
        <f>ABS(IF(C63=0,0,(SUMIFS(TuesFoodTipout,Sample!TuesAMPM,C62,Sample!TuesJobCode,"Server")+(SUMIFS(TuesFoodTipout,Sample!TuesAMPM,C62,Sample!TuesJobCode,"Bartender")))))</f>
        <v>0</v>
      </c>
      <c r="D64" s="7">
        <f>ABS(IF(D63=0,0,(SUMIFS(TuesFoodTipout,Sample!TuesAMPM,D62,Sample!TuesJobCode,"Server")+(SUMIFS(TuesFoodTipout,Sample!TuesAMPM,D62,Sample!TuesJobCode,"Bartender")))))</f>
        <v>0</v>
      </c>
      <c r="E64" s="7">
        <f ca="1">ABS(SUMIFS(TuesHostTipout,Sample!TuesAMPM,E62,Sample!TuesJobCode,"&lt;&gt;Host"))</f>
        <v>22.93</v>
      </c>
      <c r="F64" s="7">
        <f ca="1">ABS(SUMIFS(TuesHostTipout,Sample!TuesAMPM,F62,Sample!TuesJobCode,"&lt;&gt;Host"))</f>
        <v>54.01</v>
      </c>
      <c r="G64" s="7" t="s">
        <v>36</v>
      </c>
      <c r="N64" s="7">
        <f>SUMIFS(ThursAlcTipout,Sample!ThursAMPM,N62,Sample!ThursJobCode,"&lt;&gt;Bartender")*-1</f>
        <v>12</v>
      </c>
      <c r="O64" s="66">
        <f>SUMIFS(ThursAlcTipout,Sample!ThursAMPM,O62,Sample!ThursJobCode,"&lt;&gt;Bartender")*-1</f>
        <v>14.879999999999999</v>
      </c>
      <c r="P64" s="7">
        <f>ABS(IF(P63=0,0,(SUMIFS(ThursFoodTipout,Sample!ThursAMPM,P62,Sample!ThursJobCode,"Server")+(SUMIFS(ThursFoodTipout,Sample!ThursAMPM,P62,Sample!ThursJobCode,"Bartender")))))</f>
        <v>0</v>
      </c>
      <c r="Q64" s="7">
        <f ca="1">ABS(IF(Q63=0,0,(SUMIFS(ThursFoodTipout,Sample!ThursAMPM,Q62,Sample!ThursJobCode,"Server")+(SUMIFS(ThursFoodTipout,Sample!ThursAMPM,Q62,Sample!ThursJobCode,"Bartender")))))</f>
        <v>14.12</v>
      </c>
      <c r="R64" s="7">
        <f ca="1">ABS(SUMIFS(ThursHostTipout,Sample!ThursAMPM,R62,Sample!ThursJobCode,"&lt;&gt;Host"))</f>
        <v>27.1</v>
      </c>
      <c r="S64" s="7">
        <f ca="1">ABS(SUMIFS(ThursHostTipout,Sample!ThursAMPM,S62,Sample!ThursJobCode,"&lt;&gt;Host"))</f>
        <v>14.37</v>
      </c>
      <c r="T64" s="7" t="s">
        <v>36</v>
      </c>
      <c r="AA64" s="7">
        <f>SUMIFS(SatAlcTipout,Sample!SatAMPM,AA62,Sample!SatJobCode,"&lt;&gt;Bartender")*-1</f>
        <v>0</v>
      </c>
      <c r="AB64" s="66">
        <f>SUMIFS(SatAlcTipout,Sample!SatAMPM,AB62,Sample!SatJobCode,"&lt;&gt;Bartender")*-1</f>
        <v>0</v>
      </c>
      <c r="AC64" s="7">
        <f>ABS(IF(AC63=0,0,(SUMIFS(SatFoodTipout,Sample!SatAMPM,AC62,Sample!SatJobCode,"Server")+(SUMIFS(SatFoodTipout,Sample!SatAMPM,AC62,Sample!SatJobCode,"Bartender")))))</f>
        <v>0</v>
      </c>
      <c r="AD64" s="7">
        <f>ABS(IF(AD63=0,0,(SUMIFS(SatFoodTipout,Sample!SatAMPM,AD62,Sample!SatJobCode,"Server")+(SUMIFS(SatFoodTipout,Sample!SatAMPM,AD62,Sample!SatJobCode,"Bartender")))))</f>
        <v>0</v>
      </c>
      <c r="AE64" s="7">
        <f>ABS(SUMIFS(SatHostTipout,Sample!SatAMPM,AE62,Sample!SatJobCode,"&lt;&gt;Host"))</f>
        <v>0</v>
      </c>
      <c r="AF64" s="7">
        <f>ABS(SUMIFS(SatHostTipout,Sample!SatAMPM,AF62,Sample!SatJobCode,"&lt;&gt;Host"))</f>
        <v>0</v>
      </c>
      <c r="AG64" s="7" t="s">
        <v>36</v>
      </c>
    </row>
    <row r="65" spans="1:45" hidden="1" x14ac:dyDescent="0.2">
      <c r="A65" s="66">
        <f>SUMIFS(Sample!TuesTips,Sample!TuesAMPM,A62,Sample!TuesJobCode,A61)</f>
        <v>165</v>
      </c>
      <c r="B65" s="66">
        <f>SUMIFS(Sample!TuesTips,Sample!TuesAMPM,B62,Sample!TuesJobCode,B61)</f>
        <v>300</v>
      </c>
      <c r="C65" s="7">
        <f>SUMIFS(TuesFoodTipout,Sample!TuesAMPM,C62,Sample!TuesJobCode,"Bartender")</f>
        <v>0</v>
      </c>
      <c r="D65" s="7">
        <f>SUMIFS(TuesFoodTipout,Sample!TuesAMPM,D62,Sample!TuesJobCode,"Bartender")</f>
        <v>0</v>
      </c>
      <c r="E65" s="7">
        <f ca="1">SUMIFS(TuesHostTipout,Sample!TuesJobCode,"Bartender",Sample!TuesAMPM,E62)</f>
        <v>-12.35</v>
      </c>
      <c r="F65" s="7">
        <f ca="1">SUMIFS(TuesHostTipout,Sample!TuesJobCode,"Bartender",Sample!TuesAMPM,F62)</f>
        <v>-13</v>
      </c>
      <c r="G65" s="7" t="s">
        <v>37</v>
      </c>
      <c r="N65" s="66">
        <f>SUMIFS(Sample!ThursTips,Sample!ThursAMPM,N62,Sample!ThursJobCode,N61)</f>
        <v>250</v>
      </c>
      <c r="O65" s="66">
        <f>SUMIFS(Sample!ThursTips,Sample!ThursAMPM,O62,Sample!ThursJobCode,O61)</f>
        <v>10</v>
      </c>
      <c r="P65" s="7">
        <f>SUMIFS(ThursFoodTipout,Sample!ThursAMPM,P62,Sample!ThursJobCode,"Bartender")</f>
        <v>0</v>
      </c>
      <c r="Q65" s="7">
        <f ca="1">SUMIFS(ThursFoodTipout,Sample!ThursAMPM,Q62,Sample!ThursJobCode,"Bartender")</f>
        <v>-0.18</v>
      </c>
      <c r="R65" s="7">
        <f ca="1">SUMIFS(ThursHostTipout,Sample!ThursJobCode,"Bartender",Sample!ThursAMPM,R62)</f>
        <v>-14.64</v>
      </c>
      <c r="S65" s="7">
        <f ca="1">SUMIFS(ThursHostTipout,Sample!ThursJobCode,"Bartender",Sample!ThursAMPM,S62)</f>
        <v>-2.44</v>
      </c>
      <c r="T65" s="7" t="s">
        <v>37</v>
      </c>
      <c r="AA65" s="66">
        <f>SUMIFS(Sample!SatTips,Sample!SatAMPM,AA62,Sample!SatJobCode,AA61)</f>
        <v>0</v>
      </c>
      <c r="AB65" s="66">
        <f>SUMIFS(Sample!SatTips,Sample!SatAMPM,AB62,Sample!SatJobCode,AB61)</f>
        <v>0</v>
      </c>
      <c r="AC65" s="7">
        <f>SUMIFS(SatFoodTipout,Sample!SatAMPM,AC62,Sample!SatJobCode,"Bartender")</f>
        <v>0</v>
      </c>
      <c r="AD65" s="7">
        <f>SUMIFS(SatFoodTipout,Sample!SatAMPM,AD62,Sample!SatJobCode,"Bartender")</f>
        <v>0</v>
      </c>
      <c r="AE65" s="7">
        <f>SUMIFS(SatHostTipout,Sample!SatJobCode,"Bartender",Sample!SatAMPM,AE62)</f>
        <v>0</v>
      </c>
      <c r="AF65" s="7">
        <f>SUMIFS(SatHostTipout,Sample!SatJobCode,"Bartender",Sample!SatAMPM,AF62)</f>
        <v>0</v>
      </c>
      <c r="AG65" s="7" t="s">
        <v>37</v>
      </c>
    </row>
    <row r="66" spans="1:45" hidden="1" x14ac:dyDescent="0.2">
      <c r="A66" s="7">
        <f>A64/A63</f>
        <v>1.125</v>
      </c>
      <c r="B66" s="13">
        <f>B64/B63</f>
        <v>5.2725</v>
      </c>
      <c r="C66" s="7">
        <f>IFERROR(C64/C63,0)</f>
        <v>0</v>
      </c>
      <c r="D66" s="7">
        <f>IFERROR(D64/D63,0)</f>
        <v>0</v>
      </c>
      <c r="E66" s="7">
        <f ca="1">IFERROR(E64/E63,0)</f>
        <v>3.8216666666666668</v>
      </c>
      <c r="F66" s="7">
        <f ca="1">IFERROR(F64/F63,0)</f>
        <v>9.0016666666666669</v>
      </c>
      <c r="G66" s="7" t="s">
        <v>38</v>
      </c>
      <c r="N66" s="7">
        <f>N64/N63</f>
        <v>1.5</v>
      </c>
      <c r="O66" s="13">
        <f>O64/O63</f>
        <v>2.1257142857142854</v>
      </c>
      <c r="P66" s="7">
        <f>IFERROR(P64/P63,0)</f>
        <v>0</v>
      </c>
      <c r="Q66" s="7">
        <f ca="1">IFERROR(Q64/Q63,0)</f>
        <v>3.53</v>
      </c>
      <c r="R66" s="7">
        <f ca="1">IFERROR(R64/R63,0)</f>
        <v>5.42</v>
      </c>
      <c r="S66" s="7">
        <f ca="1">IFERROR(S64/S63,0)</f>
        <v>2.0528571428571429</v>
      </c>
      <c r="T66" s="7" t="s">
        <v>38</v>
      </c>
      <c r="AA66" s="7" t="e">
        <f>AA64/AA63</f>
        <v>#DIV/0!</v>
      </c>
      <c r="AB66" s="13" t="e">
        <f>AB64/AB63</f>
        <v>#DIV/0!</v>
      </c>
      <c r="AC66" s="7">
        <f>IFERROR(AC64/AC63,0)</f>
        <v>0</v>
      </c>
      <c r="AD66" s="7">
        <f>IFERROR(AD64/AD63,0)</f>
        <v>0</v>
      </c>
      <c r="AE66" s="7">
        <f>IFERROR(AE64/AE63,0)</f>
        <v>0</v>
      </c>
      <c r="AF66" s="7">
        <f>IFERROR(AF64/AF63,0)</f>
        <v>0</v>
      </c>
      <c r="AG66" s="7" t="s">
        <v>38</v>
      </c>
    </row>
    <row r="67" spans="1:45" hidden="1" x14ac:dyDescent="0.2">
      <c r="A67" s="7">
        <f>A65/A63</f>
        <v>20.625</v>
      </c>
      <c r="B67" s="13">
        <f>B65/B63</f>
        <v>37.5</v>
      </c>
      <c r="C67" s="7">
        <f>C65/A63</f>
        <v>0</v>
      </c>
      <c r="D67" s="7">
        <f>D65/B63</f>
        <v>0</v>
      </c>
      <c r="E67" s="7">
        <f ca="1">E65/A63</f>
        <v>-1.54375</v>
      </c>
      <c r="F67" s="7">
        <f ca="1">F65/B63</f>
        <v>-1.625</v>
      </c>
      <c r="G67" s="7" t="s">
        <v>39</v>
      </c>
      <c r="N67" s="7">
        <f>N65/N63</f>
        <v>31.25</v>
      </c>
      <c r="O67" s="13">
        <f>O65/O63</f>
        <v>1.4285714285714286</v>
      </c>
      <c r="P67" s="7">
        <f>P65/N63</f>
        <v>0</v>
      </c>
      <c r="Q67" s="7">
        <f ca="1">Q65/O63</f>
        <v>-2.5714285714285714E-2</v>
      </c>
      <c r="R67" s="7">
        <f ca="1">R65/N63</f>
        <v>-1.83</v>
      </c>
      <c r="S67" s="7">
        <f ca="1">S65/O63</f>
        <v>-0.34857142857142859</v>
      </c>
      <c r="T67" s="7" t="s">
        <v>39</v>
      </c>
      <c r="AA67" s="7" t="e">
        <f>AA65/AA63</f>
        <v>#DIV/0!</v>
      </c>
      <c r="AB67" s="13" t="e">
        <f>AB65/AB63</f>
        <v>#DIV/0!</v>
      </c>
      <c r="AC67" s="7" t="e">
        <f>AC65/AA63</f>
        <v>#DIV/0!</v>
      </c>
      <c r="AD67" s="7" t="e">
        <f>AD65/AB63</f>
        <v>#DIV/0!</v>
      </c>
      <c r="AE67" s="7" t="e">
        <f>AE65/AA63</f>
        <v>#DIV/0!</v>
      </c>
      <c r="AF67" s="7" t="e">
        <f>AF65/AB63</f>
        <v>#DIV/0!</v>
      </c>
      <c r="AG67" s="7" t="s">
        <v>39</v>
      </c>
    </row>
    <row r="68" spans="1:45" hidden="1" x14ac:dyDescent="0.2">
      <c r="A68" s="7" t="s">
        <v>46</v>
      </c>
      <c r="B68" s="13" t="s">
        <v>47</v>
      </c>
      <c r="C68" s="7" t="s">
        <v>48</v>
      </c>
      <c r="AN68" s="7" t="s">
        <v>49</v>
      </c>
      <c r="AO68" s="6">
        <f>Table424789101112131418212325272325[[#Totals],[Total]]/Table424789101112131418212325272325[[#Totals],[Hours]]</f>
        <v>128.12980148883375</v>
      </c>
      <c r="AP68" s="6">
        <f>IFERROR(Table424789101112131418212325272325[[#Totals],[Total]]/AP69,0)</f>
        <v>0</v>
      </c>
      <c r="AR68" s="6">
        <f>Table424789101112131418212325272325[[#Totals],[Food]]/Table424789101112131418212325272325[[#Totals],[Total]]</f>
        <v>0.60541990703828374</v>
      </c>
      <c r="AS68" s="6">
        <f>Table424789101112131418212325272325[[#Totals],[Alcohol]]/Table424789101112131418212325272325[[#Totals],[Total]]</f>
        <v>0.39458009296171631</v>
      </c>
    </row>
    <row r="69" spans="1:45" hidden="1" x14ac:dyDescent="0.2">
      <c r="A69" s="7" t="str">
        <f>TEXT(A1,"mm.dd")</f>
        <v>02.02</v>
      </c>
      <c r="B69" s="13" t="str">
        <f>TEXT(AN1,"mm.dd")</f>
        <v>02.08</v>
      </c>
      <c r="C69" s="7" t="str">
        <f>A69&amp;"-"&amp;B69</f>
        <v>02.02-02.08</v>
      </c>
      <c r="AO69" s="13" t="s">
        <v>50</v>
      </c>
      <c r="AP69" s="24"/>
      <c r="AR69" s="7" t="s">
        <v>51</v>
      </c>
      <c r="AS69" s="7" t="s">
        <v>52</v>
      </c>
    </row>
    <row r="70" spans="1:45" hidden="1" x14ac:dyDescent="0.2">
      <c r="AN70" s="13" t="s">
        <v>53</v>
      </c>
      <c r="AP70" s="49"/>
      <c r="AR70" s="7" t="s">
        <v>51</v>
      </c>
      <c r="AS70" s="7" t="s">
        <v>52</v>
      </c>
    </row>
    <row r="71" spans="1:45" x14ac:dyDescent="0.2">
      <c r="AN71" s="50" t="s">
        <v>54</v>
      </c>
      <c r="AO71" s="6">
        <f>Table424789101112131418212325272325[[#Totals],[Hours]]/Table424789101112131418212325272325[[#Totals],[Total]]</f>
        <v>7.8045855716645908E-3</v>
      </c>
      <c r="AP71" s="6">
        <f>AP70/Table424789101112131418212325272325[[#Totals],[Total]]</f>
        <v>0</v>
      </c>
      <c r="AR71" s="6">
        <f>Table424789101112131418212325272325[[#Totals],[Food]]/Table424789101112131418212325272325[[#Totals],[Total]]</f>
        <v>0.60541990703828374</v>
      </c>
      <c r="AS71" s="6">
        <f>Table424789101112131418212325272325[[#Totals],[Alcohol]]/Table424789101112131418212325272325[[#Totals],[Total]]</f>
        <v>0.39458009296171631</v>
      </c>
    </row>
  </sheetData>
  <sheetProtection sheet="1" objects="1" scenarios="1"/>
  <sortState xmlns:xlrd2="http://schemas.microsoft.com/office/spreadsheetml/2017/richdata2" ref="AN29:AU59">
    <sortCondition ref="AN28"/>
  </sortState>
  <mergeCells count="8">
    <mergeCell ref="B1:J1"/>
    <mergeCell ref="O1:W1"/>
    <mergeCell ref="AB1:AJ1"/>
    <mergeCell ref="AO1:AW1"/>
    <mergeCell ref="B27:J27"/>
    <mergeCell ref="O27:W27"/>
    <mergeCell ref="AB27:AJ27"/>
    <mergeCell ref="AN27:AU27"/>
  </mergeCells>
  <dataValidations count="5">
    <dataValidation type="list" allowBlank="1" showInputMessage="1" showErrorMessage="1" sqref="U3:U16 H29:H36 H3:H19" xr:uid="{0640D1AA-F4DC-DE49-9462-7462BDDC6732}">
      <formula1>$AU$29:$AU$44</formula1>
    </dataValidation>
    <dataValidation type="list" allowBlank="1" showInputMessage="1" showErrorMessage="1" sqref="AH29:AH45 AU3:AU19 AH3:AH19 U29:U45 H37:H45 U17:U19" xr:uid="{D8ECA133-E156-4343-8AD4-8651AA15921D}">
      <formula1>$AU$29:$AU$59</formula1>
    </dataValidation>
    <dataValidation type="list" allowBlank="1" showInputMessage="1" showErrorMessage="1" sqref="AN3:AN19 N3:N19 N29:N45 A29:A45 AA3:AA19 AA29:AA45 A3:A19" xr:uid="{887AD738-530A-6244-BA0B-36025FA73175}">
      <formula1>$AN$29:$AN$59</formula1>
    </dataValidation>
    <dataValidation type="list" allowBlank="1" showInputMessage="1" showErrorMessage="1" sqref="H21 G61:G62 H62 U62 AH62 U21 G29:G45 AH21 T61:T62 AU21 AG61:AG62 AG3:AG21 AG29:AG45 T3:T21 T29:T45 G3:G21 AT3:AT21" xr:uid="{6CB05538-94E7-0A46-87DF-BA0FDD622327}">
      <formula1>"AM, PM"</formula1>
    </dataValidation>
    <dataValidation type="list" allowBlank="1" showInputMessage="1" showErrorMessage="1" sqref="H20 H61 U61 AH61 U20 AH20 AU20" xr:uid="{4737037C-9CAB-164E-AABC-51F58D9A7D1B}">
      <formula1>$R$2:$R$8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6C8E0-0BB9-AC4F-BC21-7F94DBD29DBE}">
  <sheetPr codeName="Sheet22"/>
  <dimension ref="A1:BH71"/>
  <sheetViews>
    <sheetView topLeftCell="A9" zoomScaleNormal="100" workbookViewId="0">
      <selection activeCell="AP33" sqref="AP33"/>
    </sheetView>
  </sheetViews>
  <sheetFormatPr baseColWidth="10" defaultColWidth="8.83203125" defaultRowHeight="15" x14ac:dyDescent="0.2"/>
  <cols>
    <col min="1" max="1" width="11.83203125" style="7" customWidth="1"/>
    <col min="2" max="2" width="5.83203125" style="13" customWidth="1"/>
    <col min="3" max="6" width="10.83203125" style="7" customWidth="1"/>
    <col min="7" max="7" width="7.33203125" style="7" customWidth="1"/>
    <col min="8" max="10" width="10.83203125" style="7" customWidth="1"/>
    <col min="11" max="11" width="14.33203125" style="7" hidden="1" customWidth="1"/>
    <col min="12" max="12" width="12.83203125" style="7" hidden="1" customWidth="1"/>
    <col min="13" max="13" width="14.1640625" style="7" hidden="1" customWidth="1"/>
    <col min="14" max="14" width="11.83203125" style="7" customWidth="1"/>
    <col min="15" max="15" width="5.83203125" style="13" customWidth="1"/>
    <col min="16" max="19" width="10.83203125" style="7" customWidth="1"/>
    <col min="20" max="20" width="7.33203125" style="7" customWidth="1"/>
    <col min="21" max="23" width="10.83203125" style="7" customWidth="1"/>
    <col min="24" max="24" width="12.33203125" style="7" hidden="1" customWidth="1"/>
    <col min="25" max="25" width="10.33203125" style="7" hidden="1" customWidth="1"/>
    <col min="26" max="26" width="10" style="7" hidden="1" customWidth="1"/>
    <col min="27" max="27" width="11.83203125" style="7" customWidth="1"/>
    <col min="28" max="28" width="5.83203125" style="13" customWidth="1"/>
    <col min="29" max="32" width="10.83203125" style="7" customWidth="1"/>
    <col min="33" max="33" width="7.33203125" style="7" customWidth="1"/>
    <col min="34" max="36" width="10.83203125" style="7" customWidth="1"/>
    <col min="37" max="37" width="12.33203125" style="7" hidden="1" customWidth="1"/>
    <col min="38" max="38" width="10.33203125" style="7" hidden="1" customWidth="1"/>
    <col min="39" max="39" width="10" style="7" hidden="1" customWidth="1"/>
    <col min="40" max="40" width="11.83203125" style="7" customWidth="1"/>
    <col min="41" max="41" width="8.33203125" style="13" customWidth="1"/>
    <col min="42" max="42" width="14.1640625" style="7" customWidth="1"/>
    <col min="43" max="45" width="10.83203125" style="7" customWidth="1"/>
    <col min="46" max="46" width="11.6640625" style="7" customWidth="1"/>
    <col min="47" max="49" width="10.83203125" style="7" customWidth="1"/>
    <col min="50" max="50" width="12.33203125" style="7" hidden="1" customWidth="1"/>
    <col min="51" max="51" width="10.33203125" style="7" hidden="1" customWidth="1"/>
    <col min="52" max="52" width="8.1640625" style="7" hidden="1" customWidth="1"/>
    <col min="53" max="53" width="15" style="7" customWidth="1"/>
    <col min="54" max="54" width="13.6640625" style="7" customWidth="1"/>
    <col min="55" max="57" width="8.33203125" style="7" customWidth="1"/>
    <col min="58" max="58" width="9" style="7" customWidth="1"/>
    <col min="59" max="59" width="11.33203125" style="7" customWidth="1"/>
    <col min="60" max="16384" width="8.83203125" style="7"/>
  </cols>
  <sheetData>
    <row r="1" spans="1:60" ht="21" x14ac:dyDescent="0.25">
      <c r="A1" s="67">
        <v>45348</v>
      </c>
      <c r="B1" s="75" t="str">
        <f>TEXT(A1,"DDDD")</f>
        <v>Monday</v>
      </c>
      <c r="C1" s="76"/>
      <c r="D1" s="76"/>
      <c r="E1" s="76"/>
      <c r="F1" s="76"/>
      <c r="G1" s="76"/>
      <c r="H1" s="76"/>
      <c r="I1" s="76"/>
      <c r="J1" s="77"/>
      <c r="K1" s="25">
        <v>0.03</v>
      </c>
      <c r="L1" s="25">
        <v>0.02</v>
      </c>
      <c r="M1" s="25">
        <v>0.01</v>
      </c>
      <c r="N1" s="68">
        <f>A1+2</f>
        <v>45350</v>
      </c>
      <c r="O1" s="78" t="str">
        <f>TEXT(N1,"DDDD")</f>
        <v>Wednesday</v>
      </c>
      <c r="P1" s="79"/>
      <c r="Q1" s="79"/>
      <c r="R1" s="79"/>
      <c r="S1" s="79"/>
      <c r="T1" s="79"/>
      <c r="U1" s="79"/>
      <c r="V1" s="79"/>
      <c r="W1" s="80"/>
      <c r="X1" s="6">
        <v>0.03</v>
      </c>
      <c r="Y1" s="6">
        <v>0.02</v>
      </c>
      <c r="Z1" s="6">
        <v>0.01</v>
      </c>
      <c r="AA1" s="69">
        <f>A1+4</f>
        <v>45352</v>
      </c>
      <c r="AB1" s="81" t="str">
        <f>TEXT(AA1,"DDDD")</f>
        <v>Friday</v>
      </c>
      <c r="AC1" s="82"/>
      <c r="AD1" s="82"/>
      <c r="AE1" s="82"/>
      <c r="AF1" s="82"/>
      <c r="AG1" s="82"/>
      <c r="AH1" s="82"/>
      <c r="AI1" s="82"/>
      <c r="AJ1" s="83"/>
      <c r="AK1" s="25">
        <v>0.03</v>
      </c>
      <c r="AL1" s="25">
        <v>0.02</v>
      </c>
      <c r="AM1" s="25">
        <v>0.01</v>
      </c>
      <c r="AN1" s="68">
        <f>A1+6</f>
        <v>45354</v>
      </c>
      <c r="AO1" s="78" t="str">
        <f>TEXT(AN1,"DDDD")</f>
        <v>Sunday</v>
      </c>
      <c r="AP1" s="79"/>
      <c r="AQ1" s="79"/>
      <c r="AR1" s="79"/>
      <c r="AS1" s="79"/>
      <c r="AT1" s="79"/>
      <c r="AU1" s="79"/>
      <c r="AV1" s="79"/>
      <c r="AW1" s="80"/>
      <c r="AX1" s="6">
        <v>0.03</v>
      </c>
      <c r="AY1" s="6">
        <v>0.02</v>
      </c>
      <c r="AZ1" s="6">
        <v>0.01</v>
      </c>
      <c r="BH1" s="8"/>
    </row>
    <row r="2" spans="1:60" ht="16" x14ac:dyDescent="0.2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8" t="s">
        <v>6</v>
      </c>
      <c r="H2" s="26" t="s">
        <v>7</v>
      </c>
      <c r="I2" s="26" t="s">
        <v>8</v>
      </c>
      <c r="J2" s="26" t="s">
        <v>9</v>
      </c>
      <c r="K2" s="29" t="s">
        <v>10</v>
      </c>
      <c r="L2" s="29" t="s">
        <v>11</v>
      </c>
      <c r="M2" s="29" t="s">
        <v>12</v>
      </c>
      <c r="N2" s="30" t="s">
        <v>0</v>
      </c>
      <c r="O2" s="31" t="s">
        <v>1</v>
      </c>
      <c r="P2" s="30" t="s">
        <v>2</v>
      </c>
      <c r="Q2" s="30" t="s">
        <v>3</v>
      </c>
      <c r="R2" s="30" t="s">
        <v>4</v>
      </c>
      <c r="S2" s="30" t="s">
        <v>5</v>
      </c>
      <c r="T2" s="32" t="s">
        <v>6</v>
      </c>
      <c r="U2" s="30" t="s">
        <v>7</v>
      </c>
      <c r="V2" s="30" t="s">
        <v>8</v>
      </c>
      <c r="W2" s="30" t="s">
        <v>9</v>
      </c>
      <c r="X2" s="7" t="s">
        <v>10</v>
      </c>
      <c r="Y2" s="7" t="s">
        <v>11</v>
      </c>
      <c r="Z2" s="7" t="s">
        <v>12</v>
      </c>
      <c r="AA2" s="33" t="s">
        <v>0</v>
      </c>
      <c r="AB2" s="34" t="s">
        <v>1</v>
      </c>
      <c r="AC2" s="33" t="s">
        <v>2</v>
      </c>
      <c r="AD2" s="33" t="s">
        <v>3</v>
      </c>
      <c r="AE2" s="33" t="s">
        <v>4</v>
      </c>
      <c r="AF2" s="33" t="s">
        <v>5</v>
      </c>
      <c r="AG2" s="35" t="s">
        <v>6</v>
      </c>
      <c r="AH2" s="33" t="s">
        <v>7</v>
      </c>
      <c r="AI2" s="33" t="s">
        <v>8</v>
      </c>
      <c r="AJ2" s="33" t="s">
        <v>9</v>
      </c>
      <c r="AK2" s="29" t="s">
        <v>10</v>
      </c>
      <c r="AL2" s="29" t="s">
        <v>11</v>
      </c>
      <c r="AM2" s="29" t="s">
        <v>12</v>
      </c>
      <c r="AN2" s="30" t="s">
        <v>0</v>
      </c>
      <c r="AO2" s="31" t="s">
        <v>1</v>
      </c>
      <c r="AP2" s="30" t="s">
        <v>2</v>
      </c>
      <c r="AQ2" s="30" t="s">
        <v>3</v>
      </c>
      <c r="AR2" s="30" t="s">
        <v>4</v>
      </c>
      <c r="AS2" s="30" t="s">
        <v>5</v>
      </c>
      <c r="AT2" s="30" t="s">
        <v>6</v>
      </c>
      <c r="AU2" s="30" t="s">
        <v>7</v>
      </c>
      <c r="AV2" s="30" t="s">
        <v>8</v>
      </c>
      <c r="AW2" s="30" t="s">
        <v>9</v>
      </c>
      <c r="AX2" s="7" t="s">
        <v>10</v>
      </c>
      <c r="AY2" s="7" t="s">
        <v>11</v>
      </c>
      <c r="AZ2" s="7" t="s">
        <v>12</v>
      </c>
    </row>
    <row r="3" spans="1:60" x14ac:dyDescent="0.2">
      <c r="A3" s="9" t="s">
        <v>55</v>
      </c>
      <c r="B3" s="10">
        <v>8</v>
      </c>
      <c r="C3" s="9">
        <v>241</v>
      </c>
      <c r="D3" s="9">
        <v>900</v>
      </c>
      <c r="E3" s="9">
        <v>350</v>
      </c>
      <c r="F3" s="1">
        <f>D3+E3</f>
        <v>1250</v>
      </c>
      <c r="G3" s="9" t="s">
        <v>14</v>
      </c>
      <c r="H3" s="9" t="s">
        <v>15</v>
      </c>
      <c r="I3" s="1">
        <f t="shared" ref="I3" ca="1" si="0">IF(H3="Bartender",(HLOOKUP(G3,MonFoodTable,6)*B3)+(HLOOKUP(G3,MonHostTable,6)*B3)+K3,SUM(K3,L3,M3))</f>
        <v>3</v>
      </c>
      <c r="J3" s="1">
        <f t="shared" ref="J3" ca="1" si="1">IFERROR(IF(H3="Bartender",(HLOOKUP(G3,MonBarTable,6)*B3)+I3,C3+I3),"")</f>
        <v>244</v>
      </c>
      <c r="K3" s="7">
        <f t="shared" ref="K3" si="2">IF(H3="Server",-E3*AlcoholTipPercentage,0)+IF(H3="Bartender",HLOOKUP(G3,MonBarTable,5)*B3)</f>
        <v>3</v>
      </c>
      <c r="L3" s="7" cm="1">
        <f t="array" ref="L3">IFERROR(_xlfn.IFS(HLOOKUP(G3,MonFoodTable,2)=0,0,OR(H3="Server",H3="Bartender"),-D3*FoodTipPercentage,OR(H3="Expo",H3="Food Runner"),HLOOKUP(G3,MonFoodTable,5)*B3,H3="Host",0),"")</f>
        <v>0</v>
      </c>
      <c r="M3" s="7" cm="1">
        <f t="array" aca="1" ref="M3" ca="1">IFERROR(_xlfn.IFS(HLOOKUP(G3,MonHostTable,2)=0,0,OR(H3="Server",H3="Bartender"),-F3*HostTipPercentage,H3="Host",HLOOKUP(G3,MonHostTable,5)*B3,OR(H3="Expo",H3="Food Runner"),0),"")</f>
        <v>0</v>
      </c>
      <c r="N3" s="4" t="s">
        <v>56</v>
      </c>
      <c r="O3" s="5">
        <v>8</v>
      </c>
      <c r="P3" s="4">
        <v>187</v>
      </c>
      <c r="Q3" s="4">
        <v>700</v>
      </c>
      <c r="R3" s="4">
        <v>740</v>
      </c>
      <c r="S3" s="3">
        <f>Q3+R3</f>
        <v>1440</v>
      </c>
      <c r="T3" s="4" t="s">
        <v>14</v>
      </c>
      <c r="U3" s="4" t="s">
        <v>15</v>
      </c>
      <c r="V3" s="3">
        <f t="shared" ref="V3" ca="1" si="3">IF(U3="Bartender",(HLOOKUP(T3,WedFoodTable,6)*O3)+(HLOOKUP(T3,WedHostTable,6)*O3)+X3,SUM(X3,Y3,Z3))</f>
        <v>5.9399999999999995</v>
      </c>
      <c r="W3" s="3">
        <f t="shared" ref="W3" ca="1" si="4">IFERROR(IF(U3="Bartender",(HLOOKUP(T3,WedBarTable,6)*O3)+V3,P3+V3),"")</f>
        <v>192.94</v>
      </c>
      <c r="X3" s="7">
        <f t="shared" ref="X3" si="5">IF(U3="Server",-R3*AlcoholTipPercentage,0)+IF(U3="Bartender",HLOOKUP(T3,WedBarTable,5)*O3)</f>
        <v>20.34</v>
      </c>
      <c r="Y3" s="7" cm="1">
        <f t="array" ref="Y3">IFERROR(_xlfn.IFS(HLOOKUP(T3,WedFoodTable,2)=0,0,OR(U3="Server",U3="Bartender"),-Q3*FoodTipPercentage,OR(U3="Expo",U3="Food Runner"),HLOOKUP(T3,WedFoodTable,5)*O3,U3="Host",0),"")</f>
        <v>0</v>
      </c>
      <c r="Z3" s="7" cm="1">
        <f t="array" aca="1" ref="Z3" ca="1">IFERROR(_xlfn.IFS(HLOOKUP(T3,WedHostTable,2)=0,0,OR(U3="Server",U3="Bartender"),-S3*HostTipPercentage,U3="Host",HLOOKUP(T3,WedHostTable,5)*O3,OR(U3="Expo",U3="Food Runner"),0),"")</f>
        <v>-14.4</v>
      </c>
      <c r="AA3" s="11" t="s">
        <v>55</v>
      </c>
      <c r="AB3" s="12">
        <v>8</v>
      </c>
      <c r="AC3" s="11">
        <v>241</v>
      </c>
      <c r="AD3" s="11">
        <v>900</v>
      </c>
      <c r="AE3" s="11">
        <v>350</v>
      </c>
      <c r="AF3" s="37">
        <f>AD3+AE3</f>
        <v>1250</v>
      </c>
      <c r="AG3" s="11" t="s">
        <v>14</v>
      </c>
      <c r="AH3" s="11" t="s">
        <v>15</v>
      </c>
      <c r="AI3" s="37">
        <f t="shared" ref="AI3" ca="1" si="6">IF(AH3="Bartender",(HLOOKUP(AG3,FriFoodTable,6)*AB3)+(HLOOKUP(AG3,FriHostTable,6)*AB3)+AK3,SUM(AK3,AL3,AM3))</f>
        <v>20.504999999999999</v>
      </c>
      <c r="AJ3" s="37">
        <f t="shared" ref="AJ3" ca="1" si="7">IFERROR(IF(AH3="Bartender",(HLOOKUP(AG3,FriBarTable,6)*AB3)+AI3,AC3+AI3),"")</f>
        <v>227.505</v>
      </c>
      <c r="AK3" s="7">
        <f t="shared" ref="AK3" si="8">IF(AH3="Server",-AE3*AlcoholTipPercentage,0)+IF(AH3="Bartender",HLOOKUP(AG3,FriBarTable,5)*AB3)</f>
        <v>20.504999999999999</v>
      </c>
      <c r="AL3" s="7" cm="1">
        <f t="array" ref="AL3">IFERROR(_xlfn.IFS(HLOOKUP(AG3,FriFoodTable,2)=0,0,OR(AH3="Server",AH3="Bartender"),-AD3*FoodTipPercentage,OR(AH3="Expo",AH3="Food Runner"),HLOOKUP(AG3,FriFoodTable,5)*AB3,AH3="Host",0),"")</f>
        <v>0</v>
      </c>
      <c r="AM3" s="7" cm="1">
        <f t="array" aca="1" ref="AM3" ca="1">IFERROR(_xlfn.IFS(HLOOKUP(AG3,FriHostTable,2)=0,0,OR(AH3="Server",AH3="Bartender"),-AF3*HostTipPercentage,AH3="Host",HLOOKUP(AG3,FriHostTable,5)*AB3,OR(AH3="Expo",AH3="Food Runner"),0),"")</f>
        <v>0</v>
      </c>
      <c r="AN3" s="4" t="s">
        <v>55</v>
      </c>
      <c r="AO3" s="5">
        <v>8</v>
      </c>
      <c r="AP3" s="4">
        <v>241</v>
      </c>
      <c r="AQ3" s="4">
        <v>900</v>
      </c>
      <c r="AR3" s="4">
        <v>350</v>
      </c>
      <c r="AS3" s="36">
        <f>AQ3+AR3</f>
        <v>1250</v>
      </c>
      <c r="AT3" s="4" t="s">
        <v>14</v>
      </c>
      <c r="AU3" s="4" t="s">
        <v>15</v>
      </c>
      <c r="AV3" s="36">
        <f t="shared" ref="AV3" ca="1" si="9">IF(AU3="Bartender",(HLOOKUP(AT3,SunFoodTable,6)*AO3)+(HLOOKUP(AT3,SunHostTable,6)*AO3)+AX3,SUM(AX3,AY3,AZ3))</f>
        <v>-15</v>
      </c>
      <c r="AW3" s="36">
        <f t="shared" ref="AW3" ca="1" si="10">IFERROR(IF(AU3="Bartender",(HLOOKUP(AT3,SunBarTable,6)*AO3)+AV3,AP3+AV3),"")</f>
        <v>226</v>
      </c>
      <c r="AX3" s="7">
        <f t="shared" ref="AX3" si="11">IF(AU3="Server",-AR3*AlcoholTipPercentage,0)+IF(AU3="Bartender",HLOOKUP(AT3,SunBarTable,5)*AO3)</f>
        <v>3</v>
      </c>
      <c r="AY3" s="7" cm="1">
        <f t="array" aca="1" ref="AY3" ca="1">IFERROR(_xlfn.IFS(HLOOKUP(AT3,SunFoodTable,2)=0,0,OR(AU3="Server",AU3="Bartender"),-AQ3*FoodTipPercentage,OR(AU3="Expo",AU3="Food Runner"),HLOOKUP(AT3,SunFoodTable,5)*AO3,AU3="Host",0),"")</f>
        <v>-18</v>
      </c>
      <c r="AZ3" s="7" cm="1">
        <f t="array" aca="1" ref="AZ3" ca="1">IFERROR(_xlfn.IFS(HLOOKUP(AT3,SunHostTable,2)=0,0,OR(AU3="Server",AU3="Bartender"),-AS3*HostTipPercentage,AU3="Host",HLOOKUP(AT3,SunHostTable,5)*AO3,OR(AU3="Expo",AU3="Food Runner"),0),"")</f>
        <v>0</v>
      </c>
    </row>
    <row r="4" spans="1:60" x14ac:dyDescent="0.2">
      <c r="A4" s="9" t="s">
        <v>57</v>
      </c>
      <c r="B4" s="10">
        <v>8</v>
      </c>
      <c r="C4" s="9">
        <v>173</v>
      </c>
      <c r="D4" s="9">
        <v>700</v>
      </c>
      <c r="E4" s="9">
        <v>100</v>
      </c>
      <c r="F4" s="1">
        <f t="shared" ref="F4:F19" si="12">E4+D4</f>
        <v>800</v>
      </c>
      <c r="G4" s="9" t="s">
        <v>14</v>
      </c>
      <c r="H4" s="9" t="s">
        <v>18</v>
      </c>
      <c r="I4" s="1">
        <f t="shared" ref="I4" ca="1" si="13">IF(H4="Bartender",(HLOOKUP(G4,MonFoodTable,6)*B4)+(HLOOKUP(G4,MonHostTable,6)*B4)+K4,SUM(K4,L4,M4))</f>
        <v>-3</v>
      </c>
      <c r="J4" s="1">
        <f t="shared" ref="J4" ca="1" si="14">IFERROR(IF(H4="Bartender",(HLOOKUP(G4,MonBarTable,6)*B4)+I4,C4+I4),"")</f>
        <v>170</v>
      </c>
      <c r="K4" s="7">
        <f t="shared" ref="K4" si="15">IF(H4="Server",-E4*AlcoholTipPercentage,0)+IF(H4="Bartender",HLOOKUP(G4,MonBarTable,5)*B4)</f>
        <v>-3</v>
      </c>
      <c r="L4" s="7" cm="1">
        <f t="array" ref="L4">IFERROR(_xlfn.IFS(HLOOKUP(G4,MonFoodTable,2)=0,0,OR(H4="Server",H4="Bartender"),-D4*FoodTipPercentage,OR(H4="Expo",H4="Food Runner"),HLOOKUP(G4,MonFoodTable,5)*B4,H4="Host",0),"")</f>
        <v>0</v>
      </c>
      <c r="M4" s="7" cm="1">
        <f t="array" aca="1" ref="M4" ca="1">IFERROR(_xlfn.IFS(HLOOKUP(G4,MonHostTable,2)=0,0,OR(H4="Server",H4="Bartender"),-F4*HostTipPercentage,H4="Host",HLOOKUP(G4,MonHostTable,5)*B4,OR(H4="Expo",H4="Food Runner"),0),"")</f>
        <v>0</v>
      </c>
      <c r="N4" s="4" t="s">
        <v>58</v>
      </c>
      <c r="O4" s="5">
        <v>8</v>
      </c>
      <c r="P4" s="4">
        <v>230</v>
      </c>
      <c r="Q4" s="4">
        <v>900</v>
      </c>
      <c r="R4" s="4">
        <v>253</v>
      </c>
      <c r="S4" s="3">
        <f t="shared" ref="S4:S19" si="16">R4+Q4</f>
        <v>1153</v>
      </c>
      <c r="T4" s="4" t="s">
        <v>14</v>
      </c>
      <c r="U4" s="4" t="s">
        <v>18</v>
      </c>
      <c r="V4" s="3">
        <f t="shared" ref="V4" ca="1" si="17">IF(U4="Bartender",(HLOOKUP(T4,WedFoodTable,6)*O4)+(HLOOKUP(T4,WedHostTable,6)*O4)+X4,SUM(X4,Y4,Z4))</f>
        <v>-19.119999999999997</v>
      </c>
      <c r="W4" s="3">
        <f t="shared" ref="W4" ca="1" si="18">IFERROR(IF(U4="Bartender",(HLOOKUP(T4,WedBarTable,6)*O4)+V4,P4+V4),"")</f>
        <v>210.88</v>
      </c>
      <c r="X4" s="7">
        <f t="shared" ref="X4" si="19">IF(U4="Server",-R4*AlcoholTipPercentage,0)+IF(U4="Bartender",HLOOKUP(T4,WedBarTable,5)*O4)</f>
        <v>-7.59</v>
      </c>
      <c r="Y4" s="7" cm="1">
        <f t="array" ref="Y4">IFERROR(_xlfn.IFS(HLOOKUP(T4,WedFoodTable,2)=0,0,OR(U4="Server",U4="Bartender"),-Q4*FoodTipPercentage,OR(U4="Expo",U4="Food Runner"),HLOOKUP(T4,WedFoodTable,5)*O4,U4="Host",0),"")</f>
        <v>0</v>
      </c>
      <c r="Z4" s="7" cm="1">
        <f t="array" aca="1" ref="Z4" ca="1">IFERROR(_xlfn.IFS(HLOOKUP(T4,WedHostTable,2)=0,0,OR(U4="Server",U4="Bartender"),-S4*HostTipPercentage,U4="Host",HLOOKUP(T4,WedHostTable,5)*O4,OR(U4="Expo",U4="Food Runner"),0),"")</f>
        <v>-11.53</v>
      </c>
      <c r="AA4" s="11" t="s">
        <v>57</v>
      </c>
      <c r="AB4" s="12">
        <v>8</v>
      </c>
      <c r="AC4" s="11">
        <v>173</v>
      </c>
      <c r="AD4" s="11">
        <v>700</v>
      </c>
      <c r="AE4" s="11">
        <v>100</v>
      </c>
      <c r="AF4" s="37">
        <f t="shared" ref="AF4:AF19" si="20">AE4+AD4</f>
        <v>800</v>
      </c>
      <c r="AG4" s="11" t="s">
        <v>14</v>
      </c>
      <c r="AH4" s="11" t="s">
        <v>15</v>
      </c>
      <c r="AI4" s="37">
        <f t="shared" ref="AI4" ca="1" si="21">IF(AH4="Bartender",(HLOOKUP(AG4,FriFoodTable,6)*AB4)+(HLOOKUP(AG4,FriHostTable,6)*AB4)+AK4,SUM(AK4,AL4,AM4))</f>
        <v>20.504999999999999</v>
      </c>
      <c r="AJ4" s="37">
        <f t="shared" ref="AJ4" ca="1" si="22">IFERROR(IF(AH4="Bartender",(HLOOKUP(AG4,FriBarTable,6)*AB4)+AI4,AC4+AI4),"")</f>
        <v>227.505</v>
      </c>
      <c r="AK4" s="7">
        <f t="shared" ref="AK4" si="23">IF(AH4="Server",-AE4*AlcoholTipPercentage,0)+IF(AH4="Bartender",HLOOKUP(AG4,FriBarTable,5)*AB4)</f>
        <v>20.504999999999999</v>
      </c>
      <c r="AL4" s="7" cm="1">
        <f t="array" ref="AL4">IFERROR(_xlfn.IFS(HLOOKUP(AG4,FriFoodTable,2)=0,0,OR(AH4="Server",AH4="Bartender"),-AD4*FoodTipPercentage,OR(AH4="Expo",AH4="Food Runner"),HLOOKUP(AG4,FriFoodTable,5)*AB4,AH4="Host",0),"")</f>
        <v>0</v>
      </c>
      <c r="AM4" s="7" cm="1">
        <f t="array" aca="1" ref="AM4" ca="1">IFERROR(_xlfn.IFS(HLOOKUP(AG4,FriHostTable,2)=0,0,OR(AH4="Server",AH4="Bartender"),-AF4*HostTipPercentage,AH4="Host",HLOOKUP(AG4,FriHostTable,5)*AB4,OR(AH4="Expo",AH4="Food Runner"),0),"")</f>
        <v>0</v>
      </c>
      <c r="AN4" s="4" t="s">
        <v>57</v>
      </c>
      <c r="AO4" s="5">
        <v>8</v>
      </c>
      <c r="AP4" s="4">
        <v>173</v>
      </c>
      <c r="AQ4" s="4">
        <v>700</v>
      </c>
      <c r="AR4" s="4">
        <v>100</v>
      </c>
      <c r="AS4" s="36">
        <f t="shared" ref="AS4:AS19" si="24">AR4+AQ4</f>
        <v>800</v>
      </c>
      <c r="AT4" s="4" t="s">
        <v>14</v>
      </c>
      <c r="AU4" s="4" t="s">
        <v>18</v>
      </c>
      <c r="AV4" s="36">
        <f t="shared" ref="AV4" ca="1" si="25">IF(AU4="Bartender",(HLOOKUP(AT4,SunFoodTable,6)*AO4)+(HLOOKUP(AT4,SunHostTable,6)*AO4)+AX4,SUM(AX4,AY4,AZ4))</f>
        <v>-17</v>
      </c>
      <c r="AW4" s="36">
        <f t="shared" ref="AW4" ca="1" si="26">IFERROR(IF(AU4="Bartender",(HLOOKUP(AT4,SunBarTable,6)*AO4)+AV4,AP4+AV4),"")</f>
        <v>156</v>
      </c>
      <c r="AX4" s="7">
        <f t="shared" ref="AX4" si="27">IF(AU4="Server",-AR4*AlcoholTipPercentage,0)+IF(AU4="Bartender",HLOOKUP(AT4,SunBarTable,5)*AO4)</f>
        <v>-3</v>
      </c>
      <c r="AY4" s="7" cm="1">
        <f t="array" aca="1" ref="AY4" ca="1">IFERROR(_xlfn.IFS(HLOOKUP(AT4,SunFoodTable,2)=0,0,OR(AU4="Server",AU4="Bartender"),-AQ4*FoodTipPercentage,OR(AU4="Expo",AU4="Food Runner"),HLOOKUP(AT4,SunFoodTable,5)*AO4,AU4="Host",0),"")</f>
        <v>-14</v>
      </c>
      <c r="AZ4" s="7" cm="1">
        <f t="array" aca="1" ref="AZ4" ca="1">IFERROR(_xlfn.IFS(HLOOKUP(AT4,SunHostTable,2)=0,0,OR(AU4="Server",AU4="Bartender"),-AS4*HostTipPercentage,AU4="Host",HLOOKUP(AT4,SunHostTable,5)*AO4,OR(AU4="Expo",AU4="Food Runner"),0),"")</f>
        <v>0</v>
      </c>
    </row>
    <row r="5" spans="1:60" x14ac:dyDescent="0.2">
      <c r="A5" s="9" t="s">
        <v>59</v>
      </c>
      <c r="B5" s="10">
        <v>8</v>
      </c>
      <c r="C5" s="9">
        <v>250</v>
      </c>
      <c r="D5" s="9">
        <v>897</v>
      </c>
      <c r="E5" s="9">
        <v>567</v>
      </c>
      <c r="F5" s="1">
        <f t="shared" si="12"/>
        <v>1464</v>
      </c>
      <c r="G5" s="9" t="s">
        <v>20</v>
      </c>
      <c r="H5" s="9" t="s">
        <v>15</v>
      </c>
      <c r="I5" s="1">
        <f t="shared" ref="I5" ca="1" si="28">IF(H5="Bartender",(HLOOKUP(G5,MonFoodTable,6)*B5)+(HLOOKUP(G5,MonHostTable,6)*B5)+K5,SUM(K5,L5,M5))</f>
        <v>24</v>
      </c>
      <c r="J5" s="1">
        <f t="shared" ref="J5" ca="1" si="29">IFERROR(IF(H5="Bartender",(HLOOKUP(G5,MonBarTable,6)*B5)+I5,C5+I5),"")</f>
        <v>274</v>
      </c>
      <c r="K5" s="7">
        <f t="shared" ref="K5" si="30">IF(H5="Server",-E5*AlcoholTipPercentage,0)+IF(H5="Bartender",HLOOKUP(G5,MonBarTable,5)*B5)</f>
        <v>24</v>
      </c>
      <c r="L5" s="7" cm="1">
        <f t="array" ref="L5">IFERROR(_xlfn.IFS(HLOOKUP(G5,MonFoodTable,2)=0,0,OR(H5="Server",H5="Bartender"),-D5*FoodTipPercentage,OR(H5="Expo",H5="Food Runner"),HLOOKUP(G5,MonFoodTable,5)*B5,H5="Host",0),"")</f>
        <v>0</v>
      </c>
      <c r="M5" s="7" cm="1">
        <f t="array" aca="1" ref="M5" ca="1">IFERROR(_xlfn.IFS(HLOOKUP(G5,MonHostTable,2)=0,0,OR(H5="Server",H5="Bartender"),-F5*HostTipPercentage,H5="Host",HLOOKUP(G5,MonHostTable,5)*B5,OR(H5="Expo",H5="Food Runner"),0),"")</f>
        <v>0</v>
      </c>
      <c r="N5" s="4" t="s">
        <v>60</v>
      </c>
      <c r="O5" s="5">
        <v>5</v>
      </c>
      <c r="P5" s="4">
        <v>120</v>
      </c>
      <c r="Q5" s="4">
        <v>589</v>
      </c>
      <c r="R5" s="4">
        <v>425</v>
      </c>
      <c r="S5" s="3">
        <f t="shared" si="16"/>
        <v>1014</v>
      </c>
      <c r="T5" s="4" t="s">
        <v>14</v>
      </c>
      <c r="U5" s="4" t="s">
        <v>18</v>
      </c>
      <c r="V5" s="3">
        <f t="shared" ref="V5" ca="1" si="31">IF(U5="Bartender",(HLOOKUP(T5,WedFoodTable,6)*O5)+(HLOOKUP(T5,WedHostTable,6)*O5)+X5,SUM(X5,Y5,Z5))</f>
        <v>-22.89</v>
      </c>
      <c r="W5" s="3">
        <f t="shared" ref="W5" ca="1" si="32">IFERROR(IF(U5="Bartender",(HLOOKUP(T5,WedBarTable,6)*O5)+V5,P5+V5),"")</f>
        <v>97.11</v>
      </c>
      <c r="X5" s="7">
        <f t="shared" ref="X5" si="33">IF(U5="Server",-R5*AlcoholTipPercentage,0)+IF(U5="Bartender",HLOOKUP(T5,WedBarTable,5)*O5)</f>
        <v>-12.75</v>
      </c>
      <c r="Y5" s="7" cm="1">
        <f t="array" ref="Y5">IFERROR(_xlfn.IFS(HLOOKUP(T5,WedFoodTable,2)=0,0,OR(U5="Server",U5="Bartender"),-Q5*FoodTipPercentage,OR(U5="Expo",U5="Food Runner"),HLOOKUP(T5,WedFoodTable,5)*O5,U5="Host",0),"")</f>
        <v>0</v>
      </c>
      <c r="Z5" s="7" cm="1">
        <f t="array" aca="1" ref="Z5" ca="1">IFERROR(_xlfn.IFS(HLOOKUP(T5,WedHostTable,2)=0,0,OR(U5="Server",U5="Bartender"),-S5*HostTipPercentage,U5="Host",HLOOKUP(T5,WedHostTable,5)*O5,OR(U5="Expo",U5="Food Runner"),0),"")</f>
        <v>-10.14</v>
      </c>
      <c r="AA5" s="11" t="s">
        <v>59</v>
      </c>
      <c r="AB5" s="12">
        <v>8</v>
      </c>
      <c r="AC5" s="11">
        <v>250</v>
      </c>
      <c r="AD5" s="11">
        <v>897</v>
      </c>
      <c r="AE5" s="11">
        <v>567</v>
      </c>
      <c r="AF5" s="37">
        <f t="shared" si="20"/>
        <v>1464</v>
      </c>
      <c r="AG5" s="11" t="s">
        <v>14</v>
      </c>
      <c r="AH5" s="11" t="s">
        <v>18</v>
      </c>
      <c r="AI5" s="37">
        <f t="shared" ref="AI5" ca="1" si="34">IF(AH5="Bartender",(HLOOKUP(AG5,FriFoodTable,6)*AB5)+(HLOOKUP(AG5,FriHostTable,6)*AB5)+AK5,SUM(AK5,AL5,AM5))</f>
        <v>-17.009999999999998</v>
      </c>
      <c r="AJ5" s="37">
        <f t="shared" ref="AJ5" ca="1" si="35">IFERROR(IF(AH5="Bartender",(HLOOKUP(AG5,FriBarTable,6)*AB5)+AI5,AC5+AI5),"")</f>
        <v>232.99</v>
      </c>
      <c r="AK5" s="7">
        <f t="shared" ref="AK5" si="36">IF(AH5="Server",-AE5*AlcoholTipPercentage,0)+IF(AH5="Bartender",HLOOKUP(AG5,FriBarTable,5)*AB5)</f>
        <v>-17.009999999999998</v>
      </c>
      <c r="AL5" s="7" cm="1">
        <f t="array" ref="AL5">IFERROR(_xlfn.IFS(HLOOKUP(AG5,FriFoodTable,2)=0,0,OR(AH5="Server",AH5="Bartender"),-AD5*FoodTipPercentage,OR(AH5="Expo",AH5="Food Runner"),HLOOKUP(AG5,FriFoodTable,5)*AB5,AH5="Host",0),"")</f>
        <v>0</v>
      </c>
      <c r="AM5" s="7" cm="1">
        <f t="array" aca="1" ref="AM5" ca="1">IFERROR(_xlfn.IFS(HLOOKUP(AG5,FriHostTable,2)=0,0,OR(AH5="Server",AH5="Bartender"),-AF5*HostTipPercentage,AH5="Host",HLOOKUP(AG5,FriHostTable,5)*AB5,OR(AH5="Expo",AH5="Food Runner"),0),"")</f>
        <v>0</v>
      </c>
      <c r="AN5" s="4" t="s">
        <v>59</v>
      </c>
      <c r="AO5" s="5">
        <v>8</v>
      </c>
      <c r="AP5" s="4">
        <v>250</v>
      </c>
      <c r="AQ5" s="4">
        <v>897</v>
      </c>
      <c r="AR5" s="4">
        <v>567</v>
      </c>
      <c r="AS5" s="36">
        <f t="shared" si="24"/>
        <v>1464</v>
      </c>
      <c r="AT5" s="4" t="s">
        <v>20</v>
      </c>
      <c r="AU5" s="4" t="s">
        <v>15</v>
      </c>
      <c r="AV5" s="36">
        <f t="shared" ref="AV5" ca="1" si="37">IF(AU5="Bartender",(HLOOKUP(AT5,SunFoodTable,6)*AO5)+(HLOOKUP(AT5,SunHostTable,6)*AO5)+AX5,SUM(AX5,AY5,AZ5))</f>
        <v>6.0599999999999987</v>
      </c>
      <c r="AW5" s="36">
        <f t="shared" ref="AW5" ca="1" si="38">IFERROR(IF(AU5="Bartender",(HLOOKUP(AT5,SunBarTable,6)*AO5)+AV5,AP5+AV5),"")</f>
        <v>256.06</v>
      </c>
      <c r="AX5" s="7">
        <f t="shared" ref="AX5" si="39">IF(AU5="Server",-AR5*AlcoholTipPercentage,0)+IF(AU5="Bartender",HLOOKUP(AT5,SunBarTable,5)*AO5)</f>
        <v>24</v>
      </c>
      <c r="AY5" s="7" cm="1">
        <f t="array" aca="1" ref="AY5" ca="1">IFERROR(_xlfn.IFS(HLOOKUP(AT5,SunFoodTable,2)=0,0,OR(AU5="Server",AU5="Bartender"),-AQ5*FoodTipPercentage,OR(AU5="Expo",AU5="Food Runner"),HLOOKUP(AT5,SunFoodTable,5)*AO5,AU5="Host",0),"")</f>
        <v>-17.940000000000001</v>
      </c>
      <c r="AZ5" s="7" cm="1">
        <f t="array" aca="1" ref="AZ5" ca="1">IFERROR(_xlfn.IFS(HLOOKUP(AT5,SunHostTable,2)=0,0,OR(AU5="Server",AU5="Bartender"),-AS5*HostTipPercentage,AU5="Host",HLOOKUP(AT5,SunHostTable,5)*AO5,OR(AU5="Expo",AU5="Food Runner"),0),"")</f>
        <v>0</v>
      </c>
    </row>
    <row r="6" spans="1:60" x14ac:dyDescent="0.2">
      <c r="A6" s="9" t="s">
        <v>61</v>
      </c>
      <c r="B6" s="10">
        <v>8</v>
      </c>
      <c r="C6" s="9">
        <v>188</v>
      </c>
      <c r="D6" s="9">
        <v>846</v>
      </c>
      <c r="E6" s="9">
        <v>400</v>
      </c>
      <c r="F6" s="1">
        <f t="shared" si="12"/>
        <v>1246</v>
      </c>
      <c r="G6" s="9" t="s">
        <v>20</v>
      </c>
      <c r="H6" s="9" t="s">
        <v>18</v>
      </c>
      <c r="I6" s="1">
        <f t="shared" ref="I6" ca="1" si="40">IF(H6="Bartender",(HLOOKUP(G6,MonFoodTable,6)*B6)+(HLOOKUP(G6,MonHostTable,6)*B6)+K6,SUM(K6,L6,M6))</f>
        <v>-12</v>
      </c>
      <c r="J6" s="1">
        <f t="shared" ref="J6" ca="1" si="41">IFERROR(IF(H6="Bartender",(HLOOKUP(G6,MonBarTable,6)*B6)+I6,C6+I6),"")</f>
        <v>176</v>
      </c>
      <c r="K6" s="7">
        <f t="shared" ref="K6" si="42">IF(H6="Server",-E6*AlcoholTipPercentage,0)+IF(H6="Bartender",HLOOKUP(G6,MonBarTable,5)*B6)</f>
        <v>-12</v>
      </c>
      <c r="L6" s="7" cm="1">
        <f t="array" ref="L6">IFERROR(_xlfn.IFS(HLOOKUP(G6,MonFoodTable,2)=0,0,OR(H6="Server",H6="Bartender"),-D6*FoodTipPercentage,OR(H6="Expo",H6="Food Runner"),HLOOKUP(G6,MonFoodTable,5)*B6,H6="Host",0),"")</f>
        <v>0</v>
      </c>
      <c r="M6" s="7" cm="1">
        <f t="array" aca="1" ref="M6" ca="1">IFERROR(_xlfn.IFS(HLOOKUP(G6,MonHostTable,2)=0,0,OR(H6="Server",H6="Bartender"),-F6*HostTipPercentage,H6="Host",HLOOKUP(G6,MonHostTable,5)*B6,OR(H6="Expo",H6="Food Runner"),0),"")</f>
        <v>0</v>
      </c>
      <c r="N6" s="4" t="s">
        <v>62</v>
      </c>
      <c r="O6" s="5">
        <v>6</v>
      </c>
      <c r="P6" s="4"/>
      <c r="Q6" s="4"/>
      <c r="R6" s="4"/>
      <c r="S6" s="3">
        <f t="shared" si="16"/>
        <v>0</v>
      </c>
      <c r="T6" s="4" t="s">
        <v>14</v>
      </c>
      <c r="U6" s="4" t="s">
        <v>30</v>
      </c>
      <c r="V6" s="3">
        <f t="shared" ref="V6" ca="1" si="43">IF(U6="Bartender",(HLOOKUP(T6,WedFoodTable,6)*O6)+(HLOOKUP(T6,WedHostTable,6)*O6)+X6,SUM(X6,Y6,Z6))</f>
        <v>36.07</v>
      </c>
      <c r="W6" s="3">
        <f t="shared" ref="W6" ca="1" si="44">IFERROR(IF(U6="Bartender",(HLOOKUP(T6,WedBarTable,6)*O6)+V6,P6+V6),"")</f>
        <v>36.07</v>
      </c>
      <c r="X6" s="7">
        <f t="shared" ref="X6" si="45">IF(U6="Server",-R6*AlcoholTipPercentage,0)+IF(U6="Bartender",HLOOKUP(T6,WedBarTable,5)*O6)</f>
        <v>0</v>
      </c>
      <c r="Y6" s="7" cm="1">
        <f t="array" ref="Y6">IFERROR(_xlfn.IFS(HLOOKUP(T6,WedFoodTable,2)=0,0,OR(U6="Server",U6="Bartender"),-Q6*FoodTipPercentage,OR(U6="Expo",U6="Food Runner"),HLOOKUP(T6,WedFoodTable,5)*O6,U6="Host",0),"")</f>
        <v>0</v>
      </c>
      <c r="Z6" s="7" cm="1">
        <f t="array" aca="1" ref="Z6" ca="1">IFERROR(_xlfn.IFS(HLOOKUP(T6,WedHostTable,2)=0,0,OR(U6="Server",U6="Bartender"),-S6*HostTipPercentage,U6="Host",HLOOKUP(T6,WedHostTable,5)*O6,OR(U6="Expo",U6="Food Runner"),0),"")</f>
        <v>36.07</v>
      </c>
      <c r="AA6" s="11" t="s">
        <v>61</v>
      </c>
      <c r="AB6" s="12">
        <v>8</v>
      </c>
      <c r="AC6" s="11">
        <v>188</v>
      </c>
      <c r="AD6" s="11">
        <v>846</v>
      </c>
      <c r="AE6" s="11">
        <v>400</v>
      </c>
      <c r="AF6" s="37">
        <f t="shared" si="20"/>
        <v>1246</v>
      </c>
      <c r="AG6" s="11" t="s">
        <v>14</v>
      </c>
      <c r="AH6" s="11" t="s">
        <v>18</v>
      </c>
      <c r="AI6" s="37">
        <f t="shared" ref="AI6" ca="1" si="46">IF(AH6="Bartender",(HLOOKUP(AG6,FriFoodTable,6)*AB6)+(HLOOKUP(AG6,FriHostTable,6)*AB6)+AK6,SUM(AK6,AL6,AM6))</f>
        <v>-12</v>
      </c>
      <c r="AJ6" s="37">
        <f t="shared" ref="AJ6" ca="1" si="47">IFERROR(IF(AH6="Bartender",(HLOOKUP(AG6,FriBarTable,6)*AB6)+AI6,AC6+AI6),"")</f>
        <v>176</v>
      </c>
      <c r="AK6" s="7">
        <f t="shared" ref="AK6" si="48">IF(AH6="Server",-AE6*AlcoholTipPercentage,0)+IF(AH6="Bartender",HLOOKUP(AG6,FriBarTable,5)*AB6)</f>
        <v>-12</v>
      </c>
      <c r="AL6" s="7" cm="1">
        <f t="array" ref="AL6">IFERROR(_xlfn.IFS(HLOOKUP(AG6,FriFoodTable,2)=0,0,OR(AH6="Server",AH6="Bartender"),-AD6*FoodTipPercentage,OR(AH6="Expo",AH6="Food Runner"),HLOOKUP(AG6,FriFoodTable,5)*AB6,AH6="Host",0),"")</f>
        <v>0</v>
      </c>
      <c r="AM6" s="7" cm="1">
        <f t="array" aca="1" ref="AM6" ca="1">IFERROR(_xlfn.IFS(HLOOKUP(AG6,FriHostTable,2)=0,0,OR(AH6="Server",AH6="Bartender"),-AF6*HostTipPercentage,AH6="Host",HLOOKUP(AG6,FriHostTable,5)*AB6,OR(AH6="Expo",AH6="Food Runner"),0),"")</f>
        <v>0</v>
      </c>
      <c r="AN6" s="4" t="s">
        <v>61</v>
      </c>
      <c r="AO6" s="5">
        <v>8</v>
      </c>
      <c r="AP6" s="4">
        <v>188</v>
      </c>
      <c r="AQ6" s="4">
        <v>846</v>
      </c>
      <c r="AR6" s="4">
        <v>400</v>
      </c>
      <c r="AS6" s="36">
        <f t="shared" si="24"/>
        <v>1246</v>
      </c>
      <c r="AT6" s="4" t="s">
        <v>20</v>
      </c>
      <c r="AU6" s="4" t="s">
        <v>18</v>
      </c>
      <c r="AV6" s="36">
        <f t="shared" ref="AV6" ca="1" si="49">IF(AU6="Bartender",(HLOOKUP(AT6,SunFoodTable,6)*AO6)+(HLOOKUP(AT6,SunHostTable,6)*AO6)+AX6,SUM(AX6,AY6,AZ6))</f>
        <v>-28.92</v>
      </c>
      <c r="AW6" s="36">
        <f t="shared" ref="AW6" ca="1" si="50">IFERROR(IF(AU6="Bartender",(HLOOKUP(AT6,SunBarTable,6)*AO6)+AV6,AP6+AV6),"")</f>
        <v>159.07999999999998</v>
      </c>
      <c r="AX6" s="7">
        <f t="shared" ref="AX6" si="51">IF(AU6="Server",-AR6*AlcoholTipPercentage,0)+IF(AU6="Bartender",HLOOKUP(AT6,SunBarTable,5)*AO6)</f>
        <v>-12</v>
      </c>
      <c r="AY6" s="7" cm="1">
        <f t="array" aca="1" ref="AY6" ca="1">IFERROR(_xlfn.IFS(HLOOKUP(AT6,SunFoodTable,2)=0,0,OR(AU6="Server",AU6="Bartender"),-AQ6*FoodTipPercentage,OR(AU6="Expo",AU6="Food Runner"),HLOOKUP(AT6,SunFoodTable,5)*AO6,AU6="Host",0),"")</f>
        <v>-16.920000000000002</v>
      </c>
      <c r="AZ6" s="7" cm="1">
        <f t="array" aca="1" ref="AZ6" ca="1">IFERROR(_xlfn.IFS(HLOOKUP(AT6,SunHostTable,2)=0,0,OR(AU6="Server",AU6="Bartender"),-AS6*HostTipPercentage,AU6="Host",HLOOKUP(AT6,SunHostTable,5)*AO6,OR(AU6="Expo",AU6="Food Runner"),0),"")</f>
        <v>0</v>
      </c>
    </row>
    <row r="7" spans="1:60" x14ac:dyDescent="0.2">
      <c r="A7" s="9" t="s">
        <v>63</v>
      </c>
      <c r="B7" s="10">
        <v>5</v>
      </c>
      <c r="C7" s="9">
        <v>135</v>
      </c>
      <c r="D7" s="9">
        <v>399</v>
      </c>
      <c r="E7" s="9">
        <v>400</v>
      </c>
      <c r="F7" s="1">
        <f t="shared" si="12"/>
        <v>799</v>
      </c>
      <c r="G7" s="9" t="s">
        <v>20</v>
      </c>
      <c r="H7" s="9" t="s">
        <v>18</v>
      </c>
      <c r="I7" s="1">
        <f t="shared" ref="I7" ca="1" si="52">IF(H7="Bartender",(HLOOKUP(G7,MonFoodTable,6)*B7)+(HLOOKUP(G7,MonHostTable,6)*B7)+K7,SUM(K7,L7,M7))</f>
        <v>-12</v>
      </c>
      <c r="J7" s="1">
        <f t="shared" ref="J7" ca="1" si="53">IFERROR(IF(H7="Bartender",(HLOOKUP(G7,MonBarTable,6)*B7)+I7,C7+I7),"")</f>
        <v>123</v>
      </c>
      <c r="K7" s="7">
        <f t="shared" ref="K7" si="54">IF(H7="Server",-E7*AlcoholTipPercentage,0)+IF(H7="Bartender",HLOOKUP(G7,MonBarTable,5)*B7)</f>
        <v>-12</v>
      </c>
      <c r="L7" s="7" cm="1">
        <f t="array" ref="L7">IFERROR(_xlfn.IFS(HLOOKUP(G7,MonFoodTable,2)=0,0,OR(H7="Server",H7="Bartender"),-D7*FoodTipPercentage,OR(H7="Expo",H7="Food Runner"),HLOOKUP(G7,MonFoodTable,5)*B7,H7="Host",0),"")</f>
        <v>0</v>
      </c>
      <c r="M7" s="7" cm="1">
        <f t="array" aca="1" ref="M7" ca="1">IFERROR(_xlfn.IFS(HLOOKUP(G7,MonHostTable,2)=0,0,OR(H7="Server",H7="Bartender"),-F7*HostTipPercentage,H7="Host",HLOOKUP(G7,MonHostTable,5)*B7,OR(H7="Expo",H7="Food Runner"),0),"")</f>
        <v>0</v>
      </c>
      <c r="N7" s="4" t="s">
        <v>63</v>
      </c>
      <c r="O7" s="5">
        <v>8</v>
      </c>
      <c r="P7" s="4">
        <v>265</v>
      </c>
      <c r="Q7" s="4">
        <v>700</v>
      </c>
      <c r="R7" s="4">
        <v>674</v>
      </c>
      <c r="S7" s="3">
        <f t="shared" si="16"/>
        <v>1374</v>
      </c>
      <c r="T7" s="4" t="s">
        <v>20</v>
      </c>
      <c r="U7" s="4" t="s">
        <v>15</v>
      </c>
      <c r="V7" s="3">
        <f t="shared" ref="V7" ca="1" si="55">IF(U7="Bartender",(HLOOKUP(T7,WedFoodTable,6)*O7)+(HLOOKUP(T7,WedHostTable,6)*O7)+X7,SUM(X7,Y7,Z7))</f>
        <v>6.7323076923076925</v>
      </c>
      <c r="W7" s="3">
        <f t="shared" ref="W7" ca="1" si="56">IFERROR(IF(U7="Bartender",(HLOOKUP(T7,WedBarTable,6)*O7)+V7,P7+V7),"")</f>
        <v>340.27076923076925</v>
      </c>
      <c r="X7" s="7">
        <f t="shared" ref="X7" si="57">IF(U7="Server",-R7*AlcoholTipPercentage,0)+IF(U7="Bartender",HLOOKUP(T7,WedBarTable,5)*O7)</f>
        <v>34.596923076923076</v>
      </c>
      <c r="Y7" s="7" cm="1">
        <f t="array" aca="1" ref="Y7" ca="1">IFERROR(_xlfn.IFS(HLOOKUP(T7,WedFoodTable,2)=0,0,OR(U7="Server",U7="Bartender"),-Q7*FoodTipPercentage,OR(U7="Expo",U7="Food Runner"),HLOOKUP(T7,WedFoodTable,5)*O7,U7="Host",0),"")</f>
        <v>-14</v>
      </c>
      <c r="Z7" s="7" cm="1">
        <f t="array" aca="1" ref="Z7" ca="1">IFERROR(_xlfn.IFS(HLOOKUP(T7,WedHostTable,2)=0,0,OR(U7="Server",U7="Bartender"),-S7*HostTipPercentage,U7="Host",HLOOKUP(T7,WedHostTable,5)*O7,OR(U7="Expo",U7="Food Runner"),0),"")</f>
        <v>-13.74</v>
      </c>
      <c r="AA7" s="11" t="s">
        <v>63</v>
      </c>
      <c r="AB7" s="12">
        <v>5</v>
      </c>
      <c r="AC7" s="11">
        <v>135</v>
      </c>
      <c r="AD7" s="11">
        <v>399</v>
      </c>
      <c r="AE7" s="11">
        <v>400</v>
      </c>
      <c r="AF7" s="37">
        <f t="shared" si="20"/>
        <v>799</v>
      </c>
      <c r="AG7" s="11" t="s">
        <v>14</v>
      </c>
      <c r="AH7" s="11" t="s">
        <v>18</v>
      </c>
      <c r="AI7" s="37">
        <f t="shared" ref="AI7" ca="1" si="58">IF(AH7="Bartender",(HLOOKUP(AG7,FriFoodTable,6)*AB7)+(HLOOKUP(AG7,FriHostTable,6)*AB7)+AK7,SUM(AK7,AL7,AM7))</f>
        <v>-12</v>
      </c>
      <c r="AJ7" s="37">
        <f t="shared" ref="AJ7" ca="1" si="59">IFERROR(IF(AH7="Bartender",(HLOOKUP(AG7,FriBarTable,6)*AB7)+AI7,AC7+AI7),"")</f>
        <v>123</v>
      </c>
      <c r="AK7" s="7">
        <f t="shared" ref="AK7" si="60">IF(AH7="Server",-AE7*AlcoholTipPercentage,0)+IF(AH7="Bartender",HLOOKUP(AG7,FriBarTable,5)*AB7)</f>
        <v>-12</v>
      </c>
      <c r="AL7" s="7" cm="1">
        <f t="array" ref="AL7">IFERROR(_xlfn.IFS(HLOOKUP(AG7,FriFoodTable,2)=0,0,OR(AH7="Server",AH7="Bartender"),-AD7*FoodTipPercentage,OR(AH7="Expo",AH7="Food Runner"),HLOOKUP(AG7,FriFoodTable,5)*AB7,AH7="Host",0),"")</f>
        <v>0</v>
      </c>
      <c r="AM7" s="7" cm="1">
        <f t="array" aca="1" ref="AM7" ca="1">IFERROR(_xlfn.IFS(HLOOKUP(AG7,FriHostTable,2)=0,0,OR(AH7="Server",AH7="Bartender"),-AF7*HostTipPercentage,AH7="Host",HLOOKUP(AG7,FriHostTable,5)*AB7,OR(AH7="Expo",AH7="Food Runner"),0),"")</f>
        <v>0</v>
      </c>
      <c r="AN7" s="4" t="s">
        <v>63</v>
      </c>
      <c r="AO7" s="5">
        <v>5</v>
      </c>
      <c r="AP7" s="4">
        <v>135</v>
      </c>
      <c r="AQ7" s="4">
        <v>399</v>
      </c>
      <c r="AR7" s="4">
        <v>400</v>
      </c>
      <c r="AS7" s="36">
        <f t="shared" si="24"/>
        <v>799</v>
      </c>
      <c r="AT7" s="4" t="s">
        <v>20</v>
      </c>
      <c r="AU7" s="4" t="s">
        <v>18</v>
      </c>
      <c r="AV7" s="36">
        <f t="shared" ref="AV7" ca="1" si="61">IF(AU7="Bartender",(HLOOKUP(AT7,SunFoodTable,6)*AO7)+(HLOOKUP(AT7,SunHostTable,6)*AO7)+AX7,SUM(AX7,AY7,AZ7))</f>
        <v>-19.98</v>
      </c>
      <c r="AW7" s="36">
        <f t="shared" ref="AW7" ca="1" si="62">IFERROR(IF(AU7="Bartender",(HLOOKUP(AT7,SunBarTable,6)*AO7)+AV7,AP7+AV7),"")</f>
        <v>115.02</v>
      </c>
      <c r="AX7" s="7">
        <f t="shared" ref="AX7" si="63">IF(AU7="Server",-AR7*AlcoholTipPercentage,0)+IF(AU7="Bartender",HLOOKUP(AT7,SunBarTable,5)*AO7)</f>
        <v>-12</v>
      </c>
      <c r="AY7" s="7" cm="1">
        <f t="array" aca="1" ref="AY7" ca="1">IFERROR(_xlfn.IFS(HLOOKUP(AT7,SunFoodTable,2)=0,0,OR(AU7="Server",AU7="Bartender"),-AQ7*FoodTipPercentage,OR(AU7="Expo",AU7="Food Runner"),HLOOKUP(AT7,SunFoodTable,5)*AO7,AU7="Host",0),"")</f>
        <v>-7.98</v>
      </c>
      <c r="AZ7" s="7" cm="1">
        <f t="array" aca="1" ref="AZ7" ca="1">IFERROR(_xlfn.IFS(HLOOKUP(AT7,SunHostTable,2)=0,0,OR(AU7="Server",AU7="Bartender"),-AS7*HostTipPercentage,AU7="Host",HLOOKUP(AT7,SunHostTable,5)*AO7,OR(AU7="Expo",AU7="Food Runner"),0),"")</f>
        <v>0</v>
      </c>
    </row>
    <row r="8" spans="1:60" x14ac:dyDescent="0.2">
      <c r="A8" s="9"/>
      <c r="B8" s="10"/>
      <c r="C8" s="9"/>
      <c r="D8" s="9"/>
      <c r="E8" s="9"/>
      <c r="F8" s="1">
        <f t="shared" si="12"/>
        <v>0</v>
      </c>
      <c r="G8" s="9"/>
      <c r="H8" s="9"/>
      <c r="I8" s="1">
        <f t="shared" ref="I8" si="64">IF(H8="Bartender",(HLOOKUP(G8,MonFoodTable,6)*B8)+(HLOOKUP(G8,MonHostTable,6)*B8)+K8,SUM(K8,L8,M8))</f>
        <v>0</v>
      </c>
      <c r="J8" s="1">
        <f t="shared" ref="J8" si="65">IFERROR(IF(H8="Bartender",(HLOOKUP(G8,MonBarTable,6)*B8)+I8,C8+I8),"")</f>
        <v>0</v>
      </c>
      <c r="K8" s="7">
        <f t="shared" ref="K8" si="66">IF(H8="Server",-E8*AlcoholTipPercentage,0)+IF(H8="Bartender",HLOOKUP(G8,MonBarTable,5)*B8)</f>
        <v>0</v>
      </c>
      <c r="L8" s="7" t="str" cm="1">
        <f t="array" ref="L8">IFERROR(_xlfn.IFS(HLOOKUP(G8,MonFoodTable,2)=0,0,OR(H8="Server",H8="Bartender"),-D8*FoodTipPercentage,OR(H8="Expo",H8="Food Runner"),HLOOKUP(G8,MonFoodTable,5)*B8,H8="Host",0),"")</f>
        <v/>
      </c>
      <c r="M8" s="7" t="str" cm="1">
        <f t="array" ref="M8">IFERROR(_xlfn.IFS(HLOOKUP(G8,MonHostTable,2)=0,0,OR(H8="Server",H8="Bartender"),-F8*HostTipPercentage,H8="Host",HLOOKUP(G8,MonHostTable,5)*B8,OR(H8="Expo",H8="Food Runner"),0),"")</f>
        <v/>
      </c>
      <c r="N8" s="4" t="s">
        <v>57</v>
      </c>
      <c r="O8" s="5">
        <v>5</v>
      </c>
      <c r="P8" s="4">
        <v>277</v>
      </c>
      <c r="Q8" s="4">
        <v>300</v>
      </c>
      <c r="R8" s="4">
        <v>854</v>
      </c>
      <c r="S8" s="3">
        <f t="shared" si="16"/>
        <v>1154</v>
      </c>
      <c r="T8" s="4" t="s">
        <v>20</v>
      </c>
      <c r="U8" s="4" t="s">
        <v>15</v>
      </c>
      <c r="V8" s="3">
        <f t="shared" ref="V8" ca="1" si="67">IF(U8="Bartender",(HLOOKUP(T8,WedFoodTable,6)*O8)+(HLOOKUP(T8,WedHostTable,6)*O8)+X8,SUM(X8,Y8,Z8))</f>
        <v>4.2076923076923052</v>
      </c>
      <c r="W8" s="3">
        <f t="shared" ref="W8" ca="1" si="68">IFERROR(IF(U8="Bartender",(HLOOKUP(T8,WedBarTable,6)*O8)+V8,P8+V8),"")</f>
        <v>212.66923076923075</v>
      </c>
      <c r="X8" s="7">
        <f t="shared" ref="X8" si="69">IF(U8="Server",-R8*AlcoholTipPercentage,0)+IF(U8="Bartender",HLOOKUP(T8,WedBarTable,5)*O8)</f>
        <v>21.623076923076923</v>
      </c>
      <c r="Y8" s="7" cm="1">
        <f t="array" aca="1" ref="Y8" ca="1">IFERROR(_xlfn.IFS(HLOOKUP(T8,WedFoodTable,2)=0,0,OR(U8="Server",U8="Bartender"),-Q8*FoodTipPercentage,OR(U8="Expo",U8="Food Runner"),HLOOKUP(T8,WedFoodTable,5)*O8,U8="Host",0),"")</f>
        <v>-6</v>
      </c>
      <c r="Z8" s="7" cm="1">
        <f t="array" aca="1" ref="Z8" ca="1">IFERROR(_xlfn.IFS(HLOOKUP(T8,WedHostTable,2)=0,0,OR(U8="Server",U8="Bartender"),-S8*HostTipPercentage,U8="Host",HLOOKUP(T8,WedHostTable,5)*O8,OR(U8="Expo",U8="Food Runner"),0),"")</f>
        <v>-11.540000000000001</v>
      </c>
      <c r="AA8" s="11" t="s">
        <v>57</v>
      </c>
      <c r="AB8" s="12">
        <v>7</v>
      </c>
      <c r="AC8" s="11">
        <v>351</v>
      </c>
      <c r="AD8" s="11">
        <v>350</v>
      </c>
      <c r="AE8" s="11">
        <v>345</v>
      </c>
      <c r="AF8" s="37">
        <f t="shared" si="20"/>
        <v>695</v>
      </c>
      <c r="AG8" s="11" t="s">
        <v>20</v>
      </c>
      <c r="AH8" s="11" t="s">
        <v>15</v>
      </c>
      <c r="AI8" s="37">
        <f t="shared" ref="AI8" ca="1" si="70">IF(AH8="Bartender",(HLOOKUP(AG8,FriFoodTable,6)*AB8)+(HLOOKUP(AG8,FriHostTable,6)*AB8)+AK8,SUM(AK8,AL8,AM8))</f>
        <v>12.715</v>
      </c>
      <c r="AJ8" s="37">
        <f t="shared" ref="AJ8" ca="1" si="71">IFERROR(IF(AH8="Bartender",(HLOOKUP(AG8,FriBarTable,6)*AB8)+AI8,AC8+AI8),"")</f>
        <v>193.215</v>
      </c>
      <c r="AK8" s="7">
        <f t="shared" ref="AK8" si="72">IF(AH8="Server",-AE8*AlcoholTipPercentage,0)+IF(AH8="Bartender",HLOOKUP(AG8,FriBarTable,5)*AB8)</f>
        <v>21</v>
      </c>
      <c r="AL8" s="7" cm="1">
        <f t="array" aca="1" ref="AL8" ca="1">IFERROR(_xlfn.IFS(HLOOKUP(AG8,FriFoodTable,2)=0,0,OR(AH8="Server",AH8="Bartender"),-AD8*FoodTipPercentage,OR(AH8="Expo",AH8="Food Runner"),HLOOKUP(AG8,FriFoodTable,5)*AB8,AH8="Host",0),"")</f>
        <v>-7</v>
      </c>
      <c r="AM8" s="7" cm="1">
        <f t="array" aca="1" ref="AM8" ca="1">IFERROR(_xlfn.IFS(HLOOKUP(AG8,FriHostTable,2)=0,0,OR(AH8="Server",AH8="Bartender"),-AF8*HostTipPercentage,AH8="Host",HLOOKUP(AG8,FriHostTable,5)*AB8,OR(AH8="Expo",AH8="Food Runner"),0),"")</f>
        <v>-6.95</v>
      </c>
      <c r="AN8" s="4" t="s">
        <v>58</v>
      </c>
      <c r="AO8" s="5">
        <v>6</v>
      </c>
      <c r="AP8" s="4"/>
      <c r="AQ8" s="4"/>
      <c r="AR8" s="4"/>
      <c r="AS8" s="36">
        <f t="shared" si="24"/>
        <v>0</v>
      </c>
      <c r="AT8" s="4" t="s">
        <v>14</v>
      </c>
      <c r="AU8" s="4" t="s">
        <v>33</v>
      </c>
      <c r="AV8" s="36">
        <f t="shared" ref="AV8" ca="1" si="73">IF(AU8="Bartender",(HLOOKUP(AT8,SunFoodTable,6)*AO8)+(HLOOKUP(AT8,SunHostTable,6)*AO8)+AX8,SUM(AX8,AY8,AZ8))</f>
        <v>32</v>
      </c>
      <c r="AW8" s="36">
        <f t="shared" ref="AW8" ca="1" si="74">IFERROR(IF(AU8="Bartender",(HLOOKUP(AT8,SunBarTable,6)*AO8)+AV8,AP8+AV8),"")</f>
        <v>32</v>
      </c>
      <c r="AX8" s="7">
        <f t="shared" ref="AX8" si="75">IF(AU8="Server",-AR8*AlcoholTipPercentage,0)+IF(AU8="Bartender",HLOOKUP(AT8,SunBarTable,5)*AO8)</f>
        <v>0</v>
      </c>
      <c r="AY8" s="7" cm="1">
        <f t="array" aca="1" ref="AY8" ca="1">IFERROR(_xlfn.IFS(HLOOKUP(AT8,SunFoodTable,2)=0,0,OR(AU8="Server",AU8="Bartender"),-AQ8*FoodTipPercentage,OR(AU8="Expo",AU8="Food Runner"),HLOOKUP(AT8,SunFoodTable,5)*AO8,AU8="Host",0),"")</f>
        <v>32</v>
      </c>
      <c r="AZ8" s="7" cm="1">
        <f t="array" aca="1" ref="AZ8" ca="1">IFERROR(_xlfn.IFS(HLOOKUP(AT8,SunHostTable,2)=0,0,OR(AU8="Server",AU8="Bartender"),-AS8*HostTipPercentage,AU8="Host",HLOOKUP(AT8,SunHostTable,5)*AO8,OR(AU8="Expo",AU8="Food Runner"),0),"")</f>
        <v>0</v>
      </c>
    </row>
    <row r="9" spans="1:60" x14ac:dyDescent="0.2">
      <c r="A9" s="9"/>
      <c r="B9" s="10"/>
      <c r="C9" s="9"/>
      <c r="D9" s="9"/>
      <c r="E9" s="9"/>
      <c r="F9" s="1">
        <f t="shared" si="12"/>
        <v>0</v>
      </c>
      <c r="G9" s="9"/>
      <c r="H9" s="9"/>
      <c r="I9" s="1">
        <f t="shared" ref="I9" si="76">IF(H9="Bartender",(HLOOKUP(G9,MonFoodTable,6)*B9)+(HLOOKUP(G9,MonHostTable,6)*B9)+K9,SUM(K9,L9,M9))</f>
        <v>0</v>
      </c>
      <c r="J9" s="1">
        <f t="shared" ref="J9" si="77">IFERROR(IF(H9="Bartender",(HLOOKUP(G9,MonBarTable,6)*B9)+I9,C9+I9),"")</f>
        <v>0</v>
      </c>
      <c r="K9" s="7">
        <f t="shared" ref="K9" si="78">IF(H9="Server",-E9*AlcoholTipPercentage,0)+IF(H9="Bartender",HLOOKUP(G9,MonBarTable,5)*B9)</f>
        <v>0</v>
      </c>
      <c r="L9" s="7" t="str" cm="1">
        <f t="array" ref="L9">IFERROR(_xlfn.IFS(HLOOKUP(G9,MonFoodTable,2)=0,0,OR(H9="Server",H9="Bartender"),-D9*FoodTipPercentage,OR(H9="Expo",H9="Food Runner"),HLOOKUP(G9,MonFoodTable,5)*B9,H9="Host",0),"")</f>
        <v/>
      </c>
      <c r="M9" s="7" t="str" cm="1">
        <f t="array" ref="M9">IFERROR(_xlfn.IFS(HLOOKUP(G9,MonHostTable,2)=0,0,OR(H9="Server",H9="Bartender"),-F9*HostTipPercentage,H9="Host",HLOOKUP(G9,MonHostTable,5)*B9,OR(H9="Expo",H9="Food Runner"),0),"")</f>
        <v/>
      </c>
      <c r="N9" s="4" t="s">
        <v>55</v>
      </c>
      <c r="O9" s="5">
        <v>8</v>
      </c>
      <c r="P9" s="4">
        <v>211</v>
      </c>
      <c r="Q9" s="4">
        <v>776</v>
      </c>
      <c r="R9" s="4">
        <v>574</v>
      </c>
      <c r="S9" s="3">
        <f t="shared" si="16"/>
        <v>1350</v>
      </c>
      <c r="T9" s="4" t="s">
        <v>20</v>
      </c>
      <c r="U9" s="4" t="s">
        <v>18</v>
      </c>
      <c r="V9" s="3">
        <f t="shared" ref="V9" ca="1" si="79">IF(U9="Bartender",(HLOOKUP(T9,WedFoodTable,6)*O9)+(HLOOKUP(T9,WedHostTable,6)*O9)+X9,SUM(X9,Y9,Z9))</f>
        <v>-46.239999999999995</v>
      </c>
      <c r="W9" s="3">
        <f t="shared" ref="W9" ca="1" si="80">IFERROR(IF(U9="Bartender",(HLOOKUP(T9,WedBarTable,6)*O9)+V9,P9+V9),"")</f>
        <v>164.76</v>
      </c>
      <c r="X9" s="7">
        <f t="shared" ref="X9" si="81">IF(U9="Server",-R9*AlcoholTipPercentage,0)+IF(U9="Bartender",HLOOKUP(T9,WedBarTable,5)*O9)</f>
        <v>-17.22</v>
      </c>
      <c r="Y9" s="7" cm="1">
        <f t="array" aca="1" ref="Y9" ca="1">IFERROR(_xlfn.IFS(HLOOKUP(T9,WedFoodTable,2)=0,0,OR(U9="Server",U9="Bartender"),-Q9*FoodTipPercentage,OR(U9="Expo",U9="Food Runner"),HLOOKUP(T9,WedFoodTable,5)*O9,U9="Host",0),"")</f>
        <v>-15.52</v>
      </c>
      <c r="Z9" s="7" cm="1">
        <f t="array" aca="1" ref="Z9" ca="1">IFERROR(_xlfn.IFS(HLOOKUP(T9,WedHostTable,2)=0,0,OR(U9="Server",U9="Bartender"),-S9*HostTipPercentage,U9="Host",HLOOKUP(T9,WedHostTable,5)*O9,OR(U9="Expo",U9="Food Runner"),0),"")</f>
        <v>-13.5</v>
      </c>
      <c r="AA9" s="11" t="s">
        <v>55</v>
      </c>
      <c r="AB9" s="12">
        <v>7</v>
      </c>
      <c r="AC9" s="11">
        <v>10</v>
      </c>
      <c r="AD9" s="11">
        <v>9</v>
      </c>
      <c r="AE9" s="11">
        <v>235</v>
      </c>
      <c r="AF9" s="37">
        <f t="shared" si="20"/>
        <v>244</v>
      </c>
      <c r="AG9" s="11" t="s">
        <v>20</v>
      </c>
      <c r="AH9" s="11" t="s">
        <v>15</v>
      </c>
      <c r="AI9" s="37">
        <f t="shared" ref="AI9" ca="1" si="82">IF(AH9="Bartender",(HLOOKUP(AG9,FriFoodTable,6)*AB9)+(HLOOKUP(AG9,FriHostTable,6)*AB9)+AK9,SUM(AK9,AL9,AM9))</f>
        <v>12.715</v>
      </c>
      <c r="AJ9" s="37">
        <f t="shared" ref="AJ9" ca="1" si="83">IFERROR(IF(AH9="Bartender",(HLOOKUP(AG9,FriBarTable,6)*AB9)+AI9,AC9+AI9),"")</f>
        <v>193.215</v>
      </c>
      <c r="AK9" s="7">
        <f t="shared" ref="AK9" si="84">IF(AH9="Server",-AE9*AlcoholTipPercentage,0)+IF(AH9="Bartender",HLOOKUP(AG9,FriBarTable,5)*AB9)</f>
        <v>21</v>
      </c>
      <c r="AL9" s="7" cm="1">
        <f t="array" aca="1" ref="AL9" ca="1">IFERROR(_xlfn.IFS(HLOOKUP(AG9,FriFoodTable,2)=0,0,OR(AH9="Server",AH9="Bartender"),-AD9*FoodTipPercentage,OR(AH9="Expo",AH9="Food Runner"),HLOOKUP(AG9,FriFoodTable,5)*AB9,AH9="Host",0),"")</f>
        <v>-0.18</v>
      </c>
      <c r="AM9" s="7" cm="1">
        <f t="array" aca="1" ref="AM9" ca="1">IFERROR(_xlfn.IFS(HLOOKUP(AG9,FriHostTable,2)=0,0,OR(AH9="Server",AH9="Bartender"),-AF9*HostTipPercentage,AH9="Host",HLOOKUP(AG9,FriHostTable,5)*AB9,OR(AH9="Expo",AH9="Food Runner"),0),"")</f>
        <v>-2.44</v>
      </c>
      <c r="AN9" s="4" t="s">
        <v>60</v>
      </c>
      <c r="AO9" s="5">
        <v>7</v>
      </c>
      <c r="AP9" s="4"/>
      <c r="AQ9" s="4"/>
      <c r="AR9" s="4"/>
      <c r="AS9" s="36">
        <f t="shared" si="24"/>
        <v>0</v>
      </c>
      <c r="AT9" s="4" t="s">
        <v>20</v>
      </c>
      <c r="AU9" s="4" t="s">
        <v>26</v>
      </c>
      <c r="AV9" s="36">
        <f t="shared" ref="AV9" ca="1" si="85">IF(AU9="Bartender",(HLOOKUP(AT9,SunFoodTable,6)*AO9)+(HLOOKUP(AT9,SunHostTable,6)*AO9)+AX9,SUM(AX9,AY9,AZ9))</f>
        <v>42.84</v>
      </c>
      <c r="AW9" s="36">
        <f t="shared" ref="AW9" ca="1" si="86">IFERROR(IF(AU9="Bartender",(HLOOKUP(AT9,SunBarTable,6)*AO9)+AV9,AP9+AV9),"")</f>
        <v>42.84</v>
      </c>
      <c r="AX9" s="7">
        <f t="shared" ref="AX9" si="87">IF(AU9="Server",-AR9*AlcoholTipPercentage,0)+IF(AU9="Bartender",HLOOKUP(AT9,SunBarTable,5)*AO9)</f>
        <v>0</v>
      </c>
      <c r="AY9" s="7" cm="1">
        <f t="array" aca="1" ref="AY9" ca="1">IFERROR(_xlfn.IFS(HLOOKUP(AT9,SunFoodTable,2)=0,0,OR(AU9="Server",AU9="Bartender"),-AQ9*FoodTipPercentage,OR(AU9="Expo",AU9="Food Runner"),HLOOKUP(AT9,SunFoodTable,5)*AO9,AU9="Host",0),"")</f>
        <v>42.84</v>
      </c>
      <c r="AZ9" s="7" cm="1">
        <f t="array" aca="1" ref="AZ9" ca="1">IFERROR(_xlfn.IFS(HLOOKUP(AT9,SunHostTable,2)=0,0,OR(AU9="Server",AU9="Bartender"),-AS9*HostTipPercentage,AU9="Host",HLOOKUP(AT9,SunHostTable,5)*AO9,OR(AU9="Expo",AU9="Food Runner"),0),"")</f>
        <v>0</v>
      </c>
    </row>
    <row r="10" spans="1:60" x14ac:dyDescent="0.2">
      <c r="A10" s="9"/>
      <c r="B10" s="10"/>
      <c r="C10" s="9"/>
      <c r="D10" s="9"/>
      <c r="E10" s="9"/>
      <c r="F10" s="1">
        <f t="shared" si="12"/>
        <v>0</v>
      </c>
      <c r="G10" s="9"/>
      <c r="H10" s="9"/>
      <c r="I10" s="1">
        <f t="shared" ref="I10" si="88">IF(H10="Bartender",(HLOOKUP(G10,MonFoodTable,6)*B10)+(HLOOKUP(G10,MonHostTable,6)*B10)+K10,SUM(K10,L10,M10))</f>
        <v>0</v>
      </c>
      <c r="J10" s="1">
        <f t="shared" ref="J10" si="89">IFERROR(IF(H10="Bartender",(HLOOKUP(G10,MonBarTable,6)*B10)+I10,C10+I10),"")</f>
        <v>0</v>
      </c>
      <c r="K10" s="7">
        <f t="shared" ref="K10" si="90">IF(H10="Server",-E10*AlcoholTipPercentage,0)+IF(H10="Bartender",HLOOKUP(G10,MonBarTable,5)*B10)</f>
        <v>0</v>
      </c>
      <c r="L10" s="7" t="str" cm="1">
        <f t="array" ref="L10">IFERROR(_xlfn.IFS(HLOOKUP(G10,MonFoodTable,2)=0,0,OR(H10="Server",H10="Bartender"),-D10*FoodTipPercentage,OR(H10="Expo",H10="Food Runner"),HLOOKUP(G10,MonFoodTable,5)*B10,H10="Host",0),"")</f>
        <v/>
      </c>
      <c r="M10" s="7" t="str" cm="1">
        <f t="array" ref="M10">IFERROR(_xlfn.IFS(HLOOKUP(G10,MonHostTable,2)=0,0,OR(H10="Server",H10="Bartender"),-F10*HostTipPercentage,H10="Host",HLOOKUP(G10,MonHostTable,5)*B10,OR(H10="Expo",H10="Food Runner"),0),"")</f>
        <v/>
      </c>
      <c r="N10" s="4" t="s">
        <v>61</v>
      </c>
      <c r="O10" s="5">
        <v>7</v>
      </c>
      <c r="P10" s="4">
        <v>129</v>
      </c>
      <c r="Q10" s="4">
        <v>584</v>
      </c>
      <c r="R10" s="4">
        <v>500</v>
      </c>
      <c r="S10" s="3">
        <f t="shared" si="16"/>
        <v>1084</v>
      </c>
      <c r="T10" s="4" t="s">
        <v>20</v>
      </c>
      <c r="U10" s="4" t="s">
        <v>18</v>
      </c>
      <c r="V10" s="3">
        <f t="shared" ref="V10" ca="1" si="91">IF(U10="Bartender",(HLOOKUP(T10,WedFoodTable,6)*O10)+(HLOOKUP(T10,WedHostTable,6)*O10)+X10,SUM(X10,Y10,Z10))</f>
        <v>-37.519999999999996</v>
      </c>
      <c r="W10" s="3">
        <f t="shared" ref="W10" ca="1" si="92">IFERROR(IF(U10="Bartender",(HLOOKUP(T10,WedBarTable,6)*O10)+V10,P10+V10),"")</f>
        <v>91.48</v>
      </c>
      <c r="X10" s="7">
        <f t="shared" ref="X10" si="93">IF(U10="Server",-R10*AlcoholTipPercentage,0)+IF(U10="Bartender",HLOOKUP(T10,WedBarTable,5)*O10)</f>
        <v>-15</v>
      </c>
      <c r="Y10" s="7" cm="1">
        <f t="array" aca="1" ref="Y10" ca="1">IFERROR(_xlfn.IFS(HLOOKUP(T10,WedFoodTable,2)=0,0,OR(U10="Server",U10="Bartender"),-Q10*FoodTipPercentage,OR(U10="Expo",U10="Food Runner"),HLOOKUP(T10,WedFoodTable,5)*O10,U10="Host",0),"")</f>
        <v>-11.68</v>
      </c>
      <c r="Z10" s="7" cm="1">
        <f t="array" aca="1" ref="Z10" ca="1">IFERROR(_xlfn.IFS(HLOOKUP(T10,WedHostTable,2)=0,0,OR(U10="Server",U10="Bartender"),-S10*HostTipPercentage,U10="Host",HLOOKUP(T10,WedHostTable,5)*O10,OR(U10="Expo",U10="Food Runner"),0),"")</f>
        <v>-10.84</v>
      </c>
      <c r="AA10" s="11" t="s">
        <v>61</v>
      </c>
      <c r="AB10" s="12">
        <v>6</v>
      </c>
      <c r="AC10" s="11">
        <v>187</v>
      </c>
      <c r="AD10" s="11">
        <v>697</v>
      </c>
      <c r="AE10" s="11">
        <v>496</v>
      </c>
      <c r="AF10" s="37">
        <f t="shared" si="20"/>
        <v>1193</v>
      </c>
      <c r="AG10" s="11" t="s">
        <v>20</v>
      </c>
      <c r="AH10" s="11" t="s">
        <v>18</v>
      </c>
      <c r="AI10" s="37">
        <f t="shared" ref="AI10" ca="1" si="94">IF(AH10="Bartender",(HLOOKUP(AG10,FriFoodTable,6)*AB10)+(HLOOKUP(AG10,FriHostTable,6)*AB10)+AK10,SUM(AK10,AL10,AM10))</f>
        <v>-40.75</v>
      </c>
      <c r="AJ10" s="37">
        <f t="shared" ref="AJ10" ca="1" si="95">IFERROR(IF(AH10="Bartender",(HLOOKUP(AG10,FriBarTable,6)*AB10)+AI10,AC10+AI10),"")</f>
        <v>146.25</v>
      </c>
      <c r="AK10" s="7">
        <f t="shared" ref="AK10" si="96">IF(AH10="Server",-AE10*AlcoholTipPercentage,0)+IF(AH10="Bartender",HLOOKUP(AG10,FriBarTable,5)*AB10)</f>
        <v>-14.879999999999999</v>
      </c>
      <c r="AL10" s="7" cm="1">
        <f t="array" aca="1" ref="AL10" ca="1">IFERROR(_xlfn.IFS(HLOOKUP(AG10,FriFoodTable,2)=0,0,OR(AH10="Server",AH10="Bartender"),-AD10*FoodTipPercentage,OR(AH10="Expo",AH10="Food Runner"),HLOOKUP(AG10,FriFoodTable,5)*AB10,AH10="Host",0),"")</f>
        <v>-13.94</v>
      </c>
      <c r="AM10" s="7" cm="1">
        <f t="array" aca="1" ref="AM10" ca="1">IFERROR(_xlfn.IFS(HLOOKUP(AG10,FriHostTable,2)=0,0,OR(AH10="Server",AH10="Bartender"),-AF10*HostTipPercentage,AH10="Host",HLOOKUP(AG10,FriHostTable,5)*AB10,OR(AH10="Expo",AH10="Food Runner"),0),"")</f>
        <v>-11.93</v>
      </c>
      <c r="AN10" s="4"/>
      <c r="AO10" s="5"/>
      <c r="AP10" s="4"/>
      <c r="AQ10" s="4"/>
      <c r="AR10" s="4"/>
      <c r="AS10" s="36">
        <f t="shared" si="24"/>
        <v>0</v>
      </c>
      <c r="AT10" s="4"/>
      <c r="AU10" s="4"/>
      <c r="AV10" s="36">
        <f t="shared" ref="AV10" si="97">IF(AU10="Bartender",(HLOOKUP(AT10,SunFoodTable,6)*AO10)+(HLOOKUP(AT10,SunHostTable,6)*AO10)+AX10,SUM(AX10,AY10,AZ10))</f>
        <v>0</v>
      </c>
      <c r="AW10" s="36">
        <f t="shared" ref="AW10" si="98">IFERROR(IF(AU10="Bartender",(HLOOKUP(AT10,SunBarTable,6)*AO10)+AV10,AP10+AV10),"")</f>
        <v>0</v>
      </c>
      <c r="AX10" s="7">
        <f t="shared" ref="AX10" si="99">IF(AU10="Server",-AR10*AlcoholTipPercentage,0)+IF(AU10="Bartender",HLOOKUP(AT10,SunBarTable,5)*AO10)</f>
        <v>0</v>
      </c>
      <c r="AY10" s="7" t="str" cm="1">
        <f t="array" ref="AY10">IFERROR(_xlfn.IFS(HLOOKUP(AT10,SunFoodTable,2)=0,0,OR(AU10="Server",AU10="Bartender"),-AQ10*FoodTipPercentage,OR(AU10="Expo",AU10="Food Runner"),HLOOKUP(AT10,SunFoodTable,5)*AO10,AU10="Host",0),"")</f>
        <v/>
      </c>
      <c r="AZ10" s="7" t="str" cm="1">
        <f t="array" ref="AZ10">IFERROR(_xlfn.IFS(HLOOKUP(AT10,SunHostTable,2)=0,0,OR(AU10="Server",AU10="Bartender"),-AS10*HostTipPercentage,AU10="Host",HLOOKUP(AT10,SunHostTable,5)*AO10,OR(AU10="Expo",AU10="Food Runner"),0),"")</f>
        <v/>
      </c>
    </row>
    <row r="11" spans="1:60" x14ac:dyDescent="0.2">
      <c r="A11" s="9"/>
      <c r="B11" s="10"/>
      <c r="C11" s="9"/>
      <c r="D11" s="9"/>
      <c r="E11" s="9"/>
      <c r="F11" s="1">
        <f t="shared" si="12"/>
        <v>0</v>
      </c>
      <c r="G11" s="9"/>
      <c r="H11" s="9"/>
      <c r="I11" s="1">
        <f t="shared" ref="I11" si="100">IF(H11="Bartender",(HLOOKUP(G11,MonFoodTable,6)*B11)+(HLOOKUP(G11,MonHostTable,6)*B11)+K11,SUM(K11,L11,M11))</f>
        <v>0</v>
      </c>
      <c r="J11" s="1">
        <f t="shared" ref="J11" si="101">IFERROR(IF(H11="Bartender",(HLOOKUP(G11,MonBarTable,6)*B11)+I11,C11+I11),"")</f>
        <v>0</v>
      </c>
      <c r="K11" s="7">
        <f t="shared" ref="K11" si="102">IF(H11="Server",-E11*AlcoholTipPercentage,0)+IF(H11="Bartender",HLOOKUP(G11,MonBarTable,5)*B11)</f>
        <v>0</v>
      </c>
      <c r="L11" s="7" t="str" cm="1">
        <f t="array" ref="L11">IFERROR(_xlfn.IFS(HLOOKUP(G11,MonFoodTable,2)=0,0,OR(H11="Server",H11="Bartender"),-D11*FoodTipPercentage,OR(H11="Expo",H11="Food Runner"),HLOOKUP(G11,MonFoodTable,5)*B11,H11="Host",0),"")</f>
        <v/>
      </c>
      <c r="M11" s="7" t="str" cm="1">
        <f t="array" ref="M11">IFERROR(_xlfn.IFS(HLOOKUP(G11,MonHostTable,2)=0,0,OR(H11="Server",H11="Bartender"),-F11*HostTipPercentage,H11="Host",HLOOKUP(G11,MonHostTable,5)*B11,OR(H11="Expo",H11="Food Runner"),0),"")</f>
        <v/>
      </c>
      <c r="N11" s="4" t="s">
        <v>59</v>
      </c>
      <c r="O11" s="5">
        <v>6</v>
      </c>
      <c r="P11" s="4">
        <v>186</v>
      </c>
      <c r="Q11" s="4">
        <v>387</v>
      </c>
      <c r="R11" s="4">
        <v>800</v>
      </c>
      <c r="S11" s="3">
        <f t="shared" si="16"/>
        <v>1187</v>
      </c>
      <c r="T11" s="4" t="s">
        <v>20</v>
      </c>
      <c r="U11" s="4" t="s">
        <v>18</v>
      </c>
      <c r="V11" s="3">
        <f t="shared" ref="V11" ca="1" si="103">IF(U11="Bartender",(HLOOKUP(T11,WedFoodTable,6)*O11)+(HLOOKUP(T11,WedHostTable,6)*O11)+X11,SUM(X11,Y11,Z11))</f>
        <v>-43.61</v>
      </c>
      <c r="W11" s="3">
        <f t="shared" ref="W11" ca="1" si="104">IFERROR(IF(U11="Bartender",(HLOOKUP(T11,WedBarTable,6)*O11)+V11,P11+V11),"")</f>
        <v>142.38999999999999</v>
      </c>
      <c r="X11" s="7">
        <f t="shared" ref="X11" si="105">IF(U11="Server",-R11*AlcoholTipPercentage,0)+IF(U11="Bartender",HLOOKUP(T11,WedBarTable,5)*O11)</f>
        <v>-24</v>
      </c>
      <c r="Y11" s="7" cm="1">
        <f t="array" aca="1" ref="Y11" ca="1">IFERROR(_xlfn.IFS(HLOOKUP(T11,WedFoodTable,2)=0,0,OR(U11="Server",U11="Bartender"),-Q11*FoodTipPercentage,OR(U11="Expo",U11="Food Runner"),HLOOKUP(T11,WedFoodTable,5)*O11,U11="Host",0),"")</f>
        <v>-7.74</v>
      </c>
      <c r="Z11" s="7" cm="1">
        <f t="array" aca="1" ref="Z11" ca="1">IFERROR(_xlfn.IFS(HLOOKUP(T11,WedHostTable,2)=0,0,OR(U11="Server",U11="Bartender"),-S11*HostTipPercentage,U11="Host",HLOOKUP(T11,WedHostTable,5)*O11,OR(U11="Expo",U11="Food Runner"),0),"")</f>
        <v>-11.870000000000001</v>
      </c>
      <c r="AA11" s="11" t="s">
        <v>59</v>
      </c>
      <c r="AB11" s="12">
        <v>7</v>
      </c>
      <c r="AC11" s="11">
        <v>264</v>
      </c>
      <c r="AD11" s="11">
        <v>975</v>
      </c>
      <c r="AE11" s="11">
        <v>594</v>
      </c>
      <c r="AF11" s="37">
        <f t="shared" si="20"/>
        <v>1569</v>
      </c>
      <c r="AG11" s="11" t="s">
        <v>20</v>
      </c>
      <c r="AH11" s="11" t="s">
        <v>18</v>
      </c>
      <c r="AI11" s="37">
        <f t="shared" ref="AI11" ca="1" si="106">IF(AH11="Bartender",(HLOOKUP(AG11,FriFoodTable,6)*AB11)+(HLOOKUP(AG11,FriHostTable,6)*AB11)+AK11,SUM(AK11,AL11,AM11))</f>
        <v>-53.01</v>
      </c>
      <c r="AJ11" s="37">
        <f t="shared" ref="AJ11" ca="1" si="107">IFERROR(IF(AH11="Bartender",(HLOOKUP(AG11,FriBarTable,6)*AB11)+AI11,AC11+AI11),"")</f>
        <v>210.99</v>
      </c>
      <c r="AK11" s="7">
        <f t="shared" ref="AK11" si="108">IF(AH11="Server",-AE11*AlcoholTipPercentage,0)+IF(AH11="Bartender",HLOOKUP(AG11,FriBarTable,5)*AB11)</f>
        <v>-17.82</v>
      </c>
      <c r="AL11" s="7" cm="1">
        <f t="array" aca="1" ref="AL11" ca="1">IFERROR(_xlfn.IFS(HLOOKUP(AG11,FriFoodTable,2)=0,0,OR(AH11="Server",AH11="Bartender"),-AD11*FoodTipPercentage,OR(AH11="Expo",AH11="Food Runner"),HLOOKUP(AG11,FriFoodTable,5)*AB11,AH11="Host",0),"")</f>
        <v>-19.5</v>
      </c>
      <c r="AM11" s="7" cm="1">
        <f t="array" aca="1" ref="AM11" ca="1">IFERROR(_xlfn.IFS(HLOOKUP(AG11,FriHostTable,2)=0,0,OR(AH11="Server",AH11="Bartender"),-AF11*HostTipPercentage,AH11="Host",HLOOKUP(AG11,FriHostTable,5)*AB11,OR(AH11="Expo",AH11="Food Runner"),0),"")</f>
        <v>-15.69</v>
      </c>
      <c r="AN11" s="4"/>
      <c r="AO11" s="5"/>
      <c r="AP11" s="4"/>
      <c r="AQ11" s="4"/>
      <c r="AR11" s="4"/>
      <c r="AS11" s="36">
        <f t="shared" si="24"/>
        <v>0</v>
      </c>
      <c r="AT11" s="4"/>
      <c r="AU11" s="4"/>
      <c r="AV11" s="36">
        <f t="shared" ref="AV11" si="109">IF(AU11="Bartender",(HLOOKUP(AT11,SunFoodTable,6)*AO11)+(HLOOKUP(AT11,SunHostTable,6)*AO11)+AX11,SUM(AX11,AY11,AZ11))</f>
        <v>0</v>
      </c>
      <c r="AW11" s="36">
        <f t="shared" ref="AW11" si="110">IFERROR(IF(AU11="Bartender",(HLOOKUP(AT11,SunBarTable,6)*AO11)+AV11,AP11+AV11),"")</f>
        <v>0</v>
      </c>
      <c r="AX11" s="7">
        <f t="shared" ref="AX11" si="111">IF(AU11="Server",-AR11*AlcoholTipPercentage,0)+IF(AU11="Bartender",HLOOKUP(AT11,SunBarTable,5)*AO11)</f>
        <v>0</v>
      </c>
      <c r="AY11" s="7" t="str" cm="1">
        <f t="array" ref="AY11">IFERROR(_xlfn.IFS(HLOOKUP(AT11,SunFoodTable,2)=0,0,OR(AU11="Server",AU11="Bartender"),-AQ11*FoodTipPercentage,OR(AU11="Expo",AU11="Food Runner"),HLOOKUP(AT11,SunFoodTable,5)*AO11,AU11="Host",0),"")</f>
        <v/>
      </c>
      <c r="AZ11" s="7" t="str" cm="1">
        <f t="array" ref="AZ11">IFERROR(_xlfn.IFS(HLOOKUP(AT11,SunHostTable,2)=0,0,OR(AU11="Server",AU11="Bartender"),-AS11*HostTipPercentage,AU11="Host",HLOOKUP(AT11,SunHostTable,5)*AO11,OR(AU11="Expo",AU11="Food Runner"),0),"")</f>
        <v/>
      </c>
    </row>
    <row r="12" spans="1:60" x14ac:dyDescent="0.2">
      <c r="A12" s="9"/>
      <c r="B12" s="10"/>
      <c r="C12" s="9"/>
      <c r="D12" s="9"/>
      <c r="E12" s="9"/>
      <c r="F12" s="1">
        <f t="shared" si="12"/>
        <v>0</v>
      </c>
      <c r="G12" s="9"/>
      <c r="H12" s="9"/>
      <c r="I12" s="1">
        <f t="shared" ref="I12" si="112">IF(H12="Bartender",(HLOOKUP(G12,MonFoodTable,6)*B12)+(HLOOKUP(G12,MonHostTable,6)*B12)+K12,SUM(K12,L12,M12))</f>
        <v>0</v>
      </c>
      <c r="J12" s="1">
        <f t="shared" ref="J12" si="113">IFERROR(IF(H12="Bartender",(HLOOKUP(G12,MonBarTable,6)*B12)+I12,C12+I12),"")</f>
        <v>0</v>
      </c>
      <c r="K12" s="7">
        <f t="shared" ref="K12" si="114">IF(H12="Server",-E12*AlcoholTipPercentage,0)+IF(H12="Bartender",HLOOKUP(G12,MonBarTable,5)*B12)</f>
        <v>0</v>
      </c>
      <c r="L12" s="7" t="str" cm="1">
        <f t="array" ref="L12">IFERROR(_xlfn.IFS(HLOOKUP(G12,MonFoodTable,2)=0,0,OR(H12="Server",H12="Bartender"),-D12*FoodTipPercentage,OR(H12="Expo",H12="Food Runner"),HLOOKUP(G12,MonFoodTable,5)*B12,H12="Host",0),"")</f>
        <v/>
      </c>
      <c r="M12" s="7" t="str" cm="1">
        <f t="array" ref="M12">IFERROR(_xlfn.IFS(HLOOKUP(G12,MonHostTable,2)=0,0,OR(H12="Server",H12="Bartender"),-F12*HostTipPercentage,H12="Host",HLOOKUP(G12,MonHostTable,5)*B12,OR(H12="Expo",H12="Food Runner"),0),"")</f>
        <v/>
      </c>
      <c r="N12" s="4" t="s">
        <v>64</v>
      </c>
      <c r="O12" s="5">
        <v>6</v>
      </c>
      <c r="P12" s="4"/>
      <c r="Q12" s="4"/>
      <c r="R12" s="4"/>
      <c r="S12" s="3">
        <f t="shared" si="16"/>
        <v>0</v>
      </c>
      <c r="T12" s="4" t="s">
        <v>20</v>
      </c>
      <c r="U12" s="4" t="s">
        <v>30</v>
      </c>
      <c r="V12" s="3">
        <f t="shared" ref="V12" ca="1" si="115">IF(U12="Bartender",(HLOOKUP(T12,WedFoodTable,6)*O12)+(HLOOKUP(T12,WedHostTable,6)*O12)+X12,SUM(X12,Y12,Z12))</f>
        <v>61.490000000000009</v>
      </c>
      <c r="W12" s="3">
        <f t="shared" ref="W12" ca="1" si="116">IFERROR(IF(U12="Bartender",(HLOOKUP(T12,WedBarTable,6)*O12)+V12,P12+V12),"")</f>
        <v>61.490000000000009</v>
      </c>
      <c r="X12" s="7">
        <f t="shared" ref="X12" si="117">IF(U12="Server",-R12*AlcoholTipPercentage,0)+IF(U12="Bartender",HLOOKUP(T12,WedBarTable,5)*O12)</f>
        <v>0</v>
      </c>
      <c r="Y12" s="7" cm="1">
        <f t="array" aca="1" ref="Y12" ca="1">IFERROR(_xlfn.IFS(HLOOKUP(T12,WedFoodTable,2)=0,0,OR(U12="Server",U12="Bartender"),-Q12*FoodTipPercentage,OR(U12="Expo",U12="Food Runner"),HLOOKUP(T12,WedFoodTable,5)*O12,U12="Host",0),"")</f>
        <v>0</v>
      </c>
      <c r="Z12" s="7" cm="1">
        <f t="array" aca="1" ref="Z12" ca="1">IFERROR(_xlfn.IFS(HLOOKUP(T12,WedHostTable,2)=0,0,OR(U12="Server",U12="Bartender"),-S12*HostTipPercentage,U12="Host",HLOOKUP(T12,WedHostTable,5)*O12,OR(U12="Expo",U12="Food Runner"),0),"")</f>
        <v>61.490000000000009</v>
      </c>
      <c r="AA12" s="11" t="s">
        <v>63</v>
      </c>
      <c r="AB12" s="12">
        <v>4</v>
      </c>
      <c r="AC12" s="11">
        <v>198</v>
      </c>
      <c r="AD12" s="11">
        <v>794</v>
      </c>
      <c r="AE12" s="11">
        <v>310</v>
      </c>
      <c r="AF12" s="37">
        <f t="shared" si="20"/>
        <v>1104</v>
      </c>
      <c r="AG12" s="11" t="s">
        <v>20</v>
      </c>
      <c r="AH12" s="11" t="s">
        <v>18</v>
      </c>
      <c r="AI12" s="37">
        <f t="shared" ref="AI12" ca="1" si="118">IF(AH12="Bartender",(HLOOKUP(AG12,FriFoodTable,6)*AB12)+(HLOOKUP(AG12,FriHostTable,6)*AB12)+AK12,SUM(AK12,AL12,AM12))</f>
        <v>-36.22</v>
      </c>
      <c r="AJ12" s="37">
        <f t="shared" ref="AJ12" ca="1" si="119">IFERROR(IF(AH12="Bartender",(HLOOKUP(AG12,FriBarTable,6)*AB12)+AI12,AC12+AI12),"")</f>
        <v>161.78</v>
      </c>
      <c r="AK12" s="7">
        <f t="shared" ref="AK12" si="120">IF(AH12="Server",-AE12*AlcoholTipPercentage,0)+IF(AH12="Bartender",HLOOKUP(AG12,FriBarTable,5)*AB12)</f>
        <v>-9.2999999999999989</v>
      </c>
      <c r="AL12" s="7" cm="1">
        <f t="array" aca="1" ref="AL12" ca="1">IFERROR(_xlfn.IFS(HLOOKUP(AG12,FriFoodTable,2)=0,0,OR(AH12="Server",AH12="Bartender"),-AD12*FoodTipPercentage,OR(AH12="Expo",AH12="Food Runner"),HLOOKUP(AG12,FriFoodTable,5)*AB12,AH12="Host",0),"")</f>
        <v>-15.88</v>
      </c>
      <c r="AM12" s="7" cm="1">
        <f t="array" aca="1" ref="AM12" ca="1">IFERROR(_xlfn.IFS(HLOOKUP(AG12,FriHostTable,2)=0,0,OR(AH12="Server",AH12="Bartender"),-AF12*HostTipPercentage,AH12="Host",HLOOKUP(AG12,FriHostTable,5)*AB12,OR(AH12="Expo",AH12="Food Runner"),0),"")</f>
        <v>-11.040000000000001</v>
      </c>
      <c r="AN12" s="4"/>
      <c r="AO12" s="5"/>
      <c r="AP12" s="4"/>
      <c r="AQ12" s="4"/>
      <c r="AR12" s="4"/>
      <c r="AS12" s="36">
        <f t="shared" si="24"/>
        <v>0</v>
      </c>
      <c r="AT12" s="4"/>
      <c r="AU12" s="4"/>
      <c r="AV12" s="36">
        <f t="shared" ref="AV12" si="121">IF(AU12="Bartender",(HLOOKUP(AT12,SunFoodTable,6)*AO12)+(HLOOKUP(AT12,SunHostTable,6)*AO12)+AX12,SUM(AX12,AY12,AZ12))</f>
        <v>0</v>
      </c>
      <c r="AW12" s="36">
        <f t="shared" ref="AW12" si="122">IFERROR(IF(AU12="Bartender",(HLOOKUP(AT12,SunBarTable,6)*AO12)+AV12,AP12+AV12),"")</f>
        <v>0</v>
      </c>
      <c r="AX12" s="7">
        <f t="shared" ref="AX12" si="123">IF(AU12="Server",-AR12*AlcoholTipPercentage,0)+IF(AU12="Bartender",HLOOKUP(AT12,SunBarTable,5)*AO12)</f>
        <v>0</v>
      </c>
      <c r="AY12" s="7" t="str" cm="1">
        <f t="array" ref="AY12">IFERROR(_xlfn.IFS(HLOOKUP(AT12,SunFoodTable,2)=0,0,OR(AU12="Server",AU12="Bartender"),-AQ12*FoodTipPercentage,OR(AU12="Expo",AU12="Food Runner"),HLOOKUP(AT12,SunFoodTable,5)*AO12,AU12="Host",0),"")</f>
        <v/>
      </c>
      <c r="AZ12" s="7" t="str" cm="1">
        <f t="array" ref="AZ12">IFERROR(_xlfn.IFS(HLOOKUP(AT12,SunHostTable,2)=0,0,OR(AU12="Server",AU12="Bartender"),-AS12*HostTipPercentage,AU12="Host",HLOOKUP(AT12,SunHostTable,5)*AO12,OR(AU12="Expo",AU12="Food Runner"),0),"")</f>
        <v/>
      </c>
    </row>
    <row r="13" spans="1:60" x14ac:dyDescent="0.2">
      <c r="A13" s="9"/>
      <c r="B13" s="10"/>
      <c r="C13" s="9"/>
      <c r="D13" s="9"/>
      <c r="E13" s="9"/>
      <c r="F13" s="1">
        <f t="shared" si="12"/>
        <v>0</v>
      </c>
      <c r="G13" s="9"/>
      <c r="H13" s="9"/>
      <c r="I13" s="1">
        <f t="shared" ref="I13" si="124">IF(H13="Bartender",(HLOOKUP(G13,MonFoodTable,6)*B13)+(HLOOKUP(G13,MonHostTable,6)*B13)+K13,SUM(K13,L13,M13))</f>
        <v>0</v>
      </c>
      <c r="J13" s="1">
        <f t="shared" ref="J13" si="125">IFERROR(IF(H13="Bartender",(HLOOKUP(G13,MonBarTable,6)*B13)+I13,C13+I13),"")</f>
        <v>0</v>
      </c>
      <c r="K13" s="7">
        <f t="shared" ref="K13" si="126">IF(H13="Server",-E13*AlcoholTipPercentage,0)+IF(H13="Bartender",HLOOKUP(G13,MonBarTable,5)*B13)</f>
        <v>0</v>
      </c>
      <c r="L13" s="7" t="str" cm="1">
        <f t="array" ref="L13">IFERROR(_xlfn.IFS(HLOOKUP(G13,MonFoodTable,2)=0,0,OR(H13="Server",H13="Bartender"),-D13*FoodTipPercentage,OR(H13="Expo",H13="Food Runner"),HLOOKUP(G13,MonFoodTable,5)*B13,H13="Host",0),"")</f>
        <v/>
      </c>
      <c r="M13" s="7" t="str" cm="1">
        <f t="array" ref="M13">IFERROR(_xlfn.IFS(HLOOKUP(G13,MonHostTable,2)=0,0,OR(H13="Server",H13="Bartender"),-F13*HostTipPercentage,H13="Host",HLOOKUP(G13,MonHostTable,5)*B13,OR(H13="Expo",H13="Food Runner"),0),"")</f>
        <v/>
      </c>
      <c r="N13" s="4" t="s">
        <v>65</v>
      </c>
      <c r="O13" s="5">
        <v>4</v>
      </c>
      <c r="P13" s="4"/>
      <c r="Q13" s="4"/>
      <c r="R13" s="4"/>
      <c r="S13" s="3">
        <f t="shared" si="16"/>
        <v>0</v>
      </c>
      <c r="T13" s="4" t="s">
        <v>20</v>
      </c>
      <c r="U13" s="4" t="s">
        <v>33</v>
      </c>
      <c r="V13" s="3">
        <f t="shared" ref="V13" ca="1" si="127">IF(U13="Bartender",(HLOOKUP(T13,WedFoodTable,6)*O13)+(HLOOKUP(T13,WedHostTable,6)*O13)+X13,SUM(X13,Y13,Z13))</f>
        <v>54.94</v>
      </c>
      <c r="W13" s="3">
        <f t="shared" ref="W13" ca="1" si="128">IFERROR(IF(U13="Bartender",(HLOOKUP(T13,WedBarTable,6)*O13)+V13,P13+V13),"")</f>
        <v>54.94</v>
      </c>
      <c r="X13" s="7">
        <f t="shared" ref="X13" si="129">IF(U13="Server",-R13*AlcoholTipPercentage,0)+IF(U13="Bartender",HLOOKUP(T13,WedBarTable,5)*O13)</f>
        <v>0</v>
      </c>
      <c r="Y13" s="7" cm="1">
        <f t="array" aca="1" ref="Y13" ca="1">IFERROR(_xlfn.IFS(HLOOKUP(T13,WedFoodTable,2)=0,0,OR(U13="Server",U13="Bartender"),-Q13*FoodTipPercentage,OR(U13="Expo",U13="Food Runner"),HLOOKUP(T13,WedFoodTable,5)*O13,U13="Host",0),"")</f>
        <v>54.94</v>
      </c>
      <c r="Z13" s="7" cm="1">
        <f t="array" aca="1" ref="Z13" ca="1">IFERROR(_xlfn.IFS(HLOOKUP(T13,WedHostTable,2)=0,0,OR(U13="Server",U13="Bartender"),-S13*HostTipPercentage,U13="Host",HLOOKUP(T13,WedHostTable,5)*O13,OR(U13="Expo",U13="Food Runner"),0),"")</f>
        <v>0</v>
      </c>
      <c r="AA13" s="11" t="s">
        <v>62</v>
      </c>
      <c r="AB13" s="12">
        <v>6</v>
      </c>
      <c r="AC13" s="11"/>
      <c r="AD13" s="11"/>
      <c r="AE13" s="11"/>
      <c r="AF13" s="37">
        <f t="shared" si="20"/>
        <v>0</v>
      </c>
      <c r="AG13" s="11" t="s">
        <v>20</v>
      </c>
      <c r="AH13" s="11" t="s">
        <v>30</v>
      </c>
      <c r="AI13" s="37">
        <f t="shared" ref="AI13" ca="1" si="130">IF(AH13="Bartender",(HLOOKUP(AG13,FriFoodTable,6)*AB13)+(HLOOKUP(AG13,FriHostTable,6)*AB13)+AK13,SUM(AK13,AL13,AM13))</f>
        <v>48.05</v>
      </c>
      <c r="AJ13" s="37">
        <f t="shared" ref="AJ13" ca="1" si="131">IFERROR(IF(AH13="Bartender",(HLOOKUP(AG13,FriBarTable,6)*AB13)+AI13,AC13+AI13),"")</f>
        <v>48.05</v>
      </c>
      <c r="AK13" s="7">
        <f t="shared" ref="AK13" si="132">IF(AH13="Server",-AE13*AlcoholTipPercentage,0)+IF(AH13="Bartender",HLOOKUP(AG13,FriBarTable,5)*AB13)</f>
        <v>0</v>
      </c>
      <c r="AL13" s="7" cm="1">
        <f t="array" aca="1" ref="AL13" ca="1">IFERROR(_xlfn.IFS(HLOOKUP(AG13,FriFoodTable,2)=0,0,OR(AH13="Server",AH13="Bartender"),-AD13*FoodTipPercentage,OR(AH13="Expo",AH13="Food Runner"),HLOOKUP(AG13,FriFoodTable,5)*AB13,AH13="Host",0),"")</f>
        <v>0</v>
      </c>
      <c r="AM13" s="7" cm="1">
        <f t="array" aca="1" ref="AM13" ca="1">IFERROR(_xlfn.IFS(HLOOKUP(AG13,FriHostTable,2)=0,0,OR(AH13="Server",AH13="Bartender"),-AF13*HostTipPercentage,AH13="Host",HLOOKUP(AG13,FriHostTable,5)*AB13,OR(AH13="Expo",AH13="Food Runner"),0),"")</f>
        <v>48.05</v>
      </c>
      <c r="AN13" s="4"/>
      <c r="AO13" s="5"/>
      <c r="AP13" s="4"/>
      <c r="AQ13" s="4"/>
      <c r="AR13" s="4"/>
      <c r="AS13" s="36">
        <f t="shared" si="24"/>
        <v>0</v>
      </c>
      <c r="AT13" s="4"/>
      <c r="AU13" s="4"/>
      <c r="AV13" s="36">
        <f t="shared" ref="AV13" si="133">IF(AU13="Bartender",(HLOOKUP(AT13,SunFoodTable,6)*AO13)+(HLOOKUP(AT13,SunHostTable,6)*AO13)+AX13,SUM(AX13,AY13,AZ13))</f>
        <v>0</v>
      </c>
      <c r="AW13" s="36">
        <f t="shared" ref="AW13" si="134">IFERROR(IF(AU13="Bartender",(HLOOKUP(AT13,SunBarTable,6)*AO13)+AV13,AP13+AV13),"")</f>
        <v>0</v>
      </c>
      <c r="AX13" s="7">
        <f t="shared" ref="AX13" si="135">IF(AU13="Server",-AR13*AlcoholTipPercentage,0)+IF(AU13="Bartender",HLOOKUP(AT13,SunBarTable,5)*AO13)</f>
        <v>0</v>
      </c>
      <c r="AY13" s="7" t="str" cm="1">
        <f t="array" ref="AY13">IFERROR(_xlfn.IFS(HLOOKUP(AT13,SunFoodTable,2)=0,0,OR(AU13="Server",AU13="Bartender"),-AQ13*FoodTipPercentage,OR(AU13="Expo",AU13="Food Runner"),HLOOKUP(AT13,SunFoodTable,5)*AO13,AU13="Host",0),"")</f>
        <v/>
      </c>
      <c r="AZ13" s="7" t="str" cm="1">
        <f t="array" ref="AZ13">IFERROR(_xlfn.IFS(HLOOKUP(AT13,SunHostTable,2)=0,0,OR(AU13="Server",AU13="Bartender"),-AS13*HostTipPercentage,AU13="Host",HLOOKUP(AT13,SunHostTable,5)*AO13,OR(AU13="Expo",AU13="Food Runner"),0),"")</f>
        <v/>
      </c>
    </row>
    <row r="14" spans="1:60" x14ac:dyDescent="0.2">
      <c r="A14" s="9"/>
      <c r="B14" s="10"/>
      <c r="C14" s="9"/>
      <c r="D14" s="9"/>
      <c r="E14" s="9"/>
      <c r="F14" s="1">
        <f t="shared" si="12"/>
        <v>0</v>
      </c>
      <c r="G14" s="9"/>
      <c r="H14" s="9"/>
      <c r="I14" s="1">
        <f t="shared" ref="I14" si="136">IF(H14="Bartender",(HLOOKUP(G14,MonFoodTable,6)*B14)+(HLOOKUP(G14,MonHostTable,6)*B14)+K14,SUM(K14,L14,M14))</f>
        <v>0</v>
      </c>
      <c r="J14" s="1">
        <f t="shared" ref="J14" si="137">IFERROR(IF(H14="Bartender",(HLOOKUP(G14,MonBarTable,6)*B14)+I14,C14+I14),"")</f>
        <v>0</v>
      </c>
      <c r="K14" s="7">
        <f t="shared" ref="K14" si="138">IF(H14="Server",-E14*AlcoholTipPercentage,0)+IF(H14="Bartender",HLOOKUP(G14,MonBarTable,5)*B14)</f>
        <v>0</v>
      </c>
      <c r="L14" s="7" t="str" cm="1">
        <f t="array" ref="L14">IFERROR(_xlfn.IFS(HLOOKUP(G14,MonFoodTable,2)=0,0,OR(H14="Server",H14="Bartender"),-D14*FoodTipPercentage,OR(H14="Expo",H14="Food Runner"),HLOOKUP(G14,MonFoodTable,5)*B14,H14="Host",0),"")</f>
        <v/>
      </c>
      <c r="M14" s="7" t="str" cm="1">
        <f t="array" ref="M14">IFERROR(_xlfn.IFS(HLOOKUP(G14,MonHostTable,2)=0,0,OR(H14="Server",H14="Bartender"),-F14*HostTipPercentage,H14="Host",HLOOKUP(G14,MonHostTable,5)*B14,OR(H14="Expo",H14="Food Runner"),0),"")</f>
        <v/>
      </c>
      <c r="N14" s="4"/>
      <c r="O14" s="5"/>
      <c r="P14" s="4"/>
      <c r="Q14" s="4"/>
      <c r="R14" s="4"/>
      <c r="S14" s="3">
        <f t="shared" si="16"/>
        <v>0</v>
      </c>
      <c r="T14" s="4"/>
      <c r="U14" s="4"/>
      <c r="V14" s="3">
        <f t="shared" ref="V14" si="139">IF(U14="Bartender",(HLOOKUP(T14,WedFoodTable,6)*O14)+(HLOOKUP(T14,WedHostTable,6)*O14)+X14,SUM(X14,Y14,Z14))</f>
        <v>0</v>
      </c>
      <c r="W14" s="3">
        <f t="shared" ref="W14" si="140">IFERROR(IF(U14="Bartender",(HLOOKUP(T14,WedBarTable,6)*O14)+V14,P14+V14),"")</f>
        <v>0</v>
      </c>
      <c r="X14" s="7">
        <f t="shared" ref="X14" si="141">IF(U14="Server",-R14*AlcoholTipPercentage,0)+IF(U14="Bartender",HLOOKUP(T14,WedBarTable,5)*O14)</f>
        <v>0</v>
      </c>
      <c r="Y14" s="7" t="str" cm="1">
        <f t="array" ref="Y14">IFERROR(_xlfn.IFS(HLOOKUP(T14,WedFoodTable,2)=0,0,OR(U14="Server",U14="Bartender"),-Q14*FoodTipPercentage,OR(U14="Expo",U14="Food Runner"),HLOOKUP(T14,WedFoodTable,5)*O14,U14="Host",0),"")</f>
        <v/>
      </c>
      <c r="Z14" s="7" t="str" cm="1">
        <f t="array" ref="Z14">IFERROR(_xlfn.IFS(HLOOKUP(T14,WedHostTable,2)=0,0,OR(U14="Server",U14="Bartender"),-S14*HostTipPercentage,U14="Host",HLOOKUP(T14,WedHostTable,5)*O14,OR(U14="Expo",U14="Food Runner"),0),"")</f>
        <v/>
      </c>
      <c r="AA14" s="11" t="s">
        <v>56</v>
      </c>
      <c r="AB14" s="12">
        <v>6</v>
      </c>
      <c r="AC14" s="11"/>
      <c r="AD14" s="11"/>
      <c r="AE14" s="11"/>
      <c r="AF14" s="37">
        <f t="shared" si="20"/>
        <v>0</v>
      </c>
      <c r="AG14" s="11" t="s">
        <v>20</v>
      </c>
      <c r="AH14" s="11" t="s">
        <v>26</v>
      </c>
      <c r="AI14" s="37">
        <f t="shared" ref="AI14" ca="1" si="142">IF(AH14="Bartender",(HLOOKUP(AG14,FriFoodTable,6)*AB14)+(HLOOKUP(AG14,FriHostTable,6)*AB14)+AK14,SUM(AK14,AL14,AM14))</f>
        <v>56.5</v>
      </c>
      <c r="AJ14" s="37">
        <f t="shared" ref="AJ14" ca="1" si="143">IFERROR(IF(AH14="Bartender",(HLOOKUP(AG14,FriBarTable,6)*AB14)+AI14,AC14+AI14),"")</f>
        <v>56.5</v>
      </c>
      <c r="AK14" s="7">
        <f t="shared" ref="AK14" si="144">IF(AH14="Server",-AE14*AlcoholTipPercentage,0)+IF(AH14="Bartender",HLOOKUP(AG14,FriBarTable,5)*AB14)</f>
        <v>0</v>
      </c>
      <c r="AL14" s="7" cm="1">
        <f t="array" aca="1" ref="AL14" ca="1">IFERROR(_xlfn.IFS(HLOOKUP(AG14,FriFoodTable,2)=0,0,OR(AH14="Server",AH14="Bartender"),-AD14*FoodTipPercentage,OR(AH14="Expo",AH14="Food Runner"),HLOOKUP(AG14,FriFoodTable,5)*AB14,AH14="Host",0),"")</f>
        <v>56.5</v>
      </c>
      <c r="AM14" s="7" cm="1">
        <f t="array" aca="1" ref="AM14" ca="1">IFERROR(_xlfn.IFS(HLOOKUP(AG14,FriHostTable,2)=0,0,OR(AH14="Server",AH14="Bartender"),-AF14*HostTipPercentage,AH14="Host",HLOOKUP(AG14,FriHostTable,5)*AB14,OR(AH14="Expo",AH14="Food Runner"),0),"")</f>
        <v>0</v>
      </c>
      <c r="AN14" s="4"/>
      <c r="AO14" s="5"/>
      <c r="AP14" s="4"/>
      <c r="AQ14" s="4"/>
      <c r="AR14" s="4"/>
      <c r="AS14" s="36">
        <f t="shared" si="24"/>
        <v>0</v>
      </c>
      <c r="AT14" s="4"/>
      <c r="AU14" s="4"/>
      <c r="AV14" s="36">
        <f t="shared" ref="AV14" si="145">IF(AU14="Bartender",(HLOOKUP(AT14,SunFoodTable,6)*AO14)+(HLOOKUP(AT14,SunHostTable,6)*AO14)+AX14,SUM(AX14,AY14,AZ14))</f>
        <v>0</v>
      </c>
      <c r="AW14" s="36">
        <f t="shared" ref="AW14" si="146">IFERROR(IF(AU14="Bartender",(HLOOKUP(AT14,SunBarTable,6)*AO14)+AV14,AP14+AV14),"")</f>
        <v>0</v>
      </c>
      <c r="AX14" s="7">
        <f t="shared" ref="AX14" si="147">IF(AU14="Server",-AR14*AlcoholTipPercentage,0)+IF(AU14="Bartender",HLOOKUP(AT14,SunBarTable,5)*AO14)</f>
        <v>0</v>
      </c>
      <c r="AY14" s="7" t="str" cm="1">
        <f t="array" ref="AY14">IFERROR(_xlfn.IFS(HLOOKUP(AT14,SunFoodTable,2)=0,0,OR(AU14="Server",AU14="Bartender"),-AQ14*FoodTipPercentage,OR(AU14="Expo",AU14="Food Runner"),HLOOKUP(AT14,SunFoodTable,5)*AO14,AU14="Host",0),"")</f>
        <v/>
      </c>
      <c r="AZ14" s="7" t="str" cm="1">
        <f t="array" ref="AZ14">IFERROR(_xlfn.IFS(HLOOKUP(AT14,SunHostTable,2)=0,0,OR(AU14="Server",AU14="Bartender"),-AS14*HostTipPercentage,AU14="Host",HLOOKUP(AT14,SunHostTable,5)*AO14,OR(AU14="Expo",AU14="Food Runner"),0),"")</f>
        <v/>
      </c>
    </row>
    <row r="15" spans="1:60" x14ac:dyDescent="0.2">
      <c r="A15" s="9"/>
      <c r="B15" s="10"/>
      <c r="C15" s="9"/>
      <c r="D15" s="9"/>
      <c r="E15" s="9"/>
      <c r="F15" s="1">
        <f t="shared" si="12"/>
        <v>0</v>
      </c>
      <c r="G15" s="9"/>
      <c r="H15" s="9"/>
      <c r="I15" s="1">
        <f t="shared" ref="I15" si="148">IF(H15="Bartender",(HLOOKUP(G15,MonFoodTable,6)*B15)+(HLOOKUP(G15,MonHostTable,6)*B15)+K15,SUM(K15,L15,M15))</f>
        <v>0</v>
      </c>
      <c r="J15" s="1">
        <f t="shared" ref="J15" si="149">IFERROR(IF(H15="Bartender",(HLOOKUP(G15,MonBarTable,6)*B15)+I15,C15+I15),"")</f>
        <v>0</v>
      </c>
      <c r="K15" s="7">
        <f t="shared" ref="K15" si="150">IF(H15="Server",-E15*AlcoholTipPercentage,0)+IF(H15="Bartender",HLOOKUP(G15,MonBarTable,5)*B15)</f>
        <v>0</v>
      </c>
      <c r="L15" s="7" t="str" cm="1">
        <f t="array" ref="L15">IFERROR(_xlfn.IFS(HLOOKUP(G15,MonFoodTable,2)=0,0,OR(H15="Server",H15="Bartender"),-D15*FoodTipPercentage,OR(H15="Expo",H15="Food Runner"),HLOOKUP(G15,MonFoodTable,5)*B15,H15="Host",0),"")</f>
        <v/>
      </c>
      <c r="M15" s="7" t="str" cm="1">
        <f t="array" ref="M15">IFERROR(_xlfn.IFS(HLOOKUP(G15,MonHostTable,2)=0,0,OR(H15="Server",H15="Bartender"),-F15*HostTipPercentage,H15="Host",HLOOKUP(G15,MonHostTable,5)*B15,OR(H15="Expo",H15="Food Runner"),0),"")</f>
        <v/>
      </c>
      <c r="N15" s="4"/>
      <c r="O15" s="5"/>
      <c r="P15" s="4"/>
      <c r="Q15" s="4"/>
      <c r="R15" s="4"/>
      <c r="S15" s="3">
        <f t="shared" si="16"/>
        <v>0</v>
      </c>
      <c r="T15" s="4"/>
      <c r="U15" s="4"/>
      <c r="V15" s="3">
        <f t="shared" ref="V15" si="151">IF(U15="Bartender",(HLOOKUP(T15,WedFoodTable,6)*O15)+(HLOOKUP(T15,WedHostTable,6)*O15)+X15,SUM(X15,Y15,Z15))</f>
        <v>0</v>
      </c>
      <c r="W15" s="3">
        <f t="shared" ref="W15" si="152">IFERROR(IF(U15="Bartender",(HLOOKUP(T15,WedBarTable,6)*O15)+V15,P15+V15),"")</f>
        <v>0</v>
      </c>
      <c r="X15" s="7">
        <f t="shared" ref="X15" si="153">IF(U15="Server",-R15*AlcoholTipPercentage,0)+IF(U15="Bartender",HLOOKUP(T15,WedBarTable,5)*O15)</f>
        <v>0</v>
      </c>
      <c r="Y15" s="7" t="str" cm="1">
        <f t="array" ref="Y15">IFERROR(_xlfn.IFS(HLOOKUP(T15,WedFoodTable,2)=0,0,OR(U15="Server",U15="Bartender"),-Q15*FoodTipPercentage,OR(U15="Expo",U15="Food Runner"),HLOOKUP(T15,WedFoodTable,5)*O15,U15="Host",0),"")</f>
        <v/>
      </c>
      <c r="Z15" s="7" t="str" cm="1">
        <f t="array" ref="Z15">IFERROR(_xlfn.IFS(HLOOKUP(T15,WedHostTable,2)=0,0,OR(U15="Server",U15="Bartender"),-S15*HostTipPercentage,U15="Host",HLOOKUP(T15,WedHostTable,5)*O15,OR(U15="Expo",U15="Food Runner"),0),"")</f>
        <v/>
      </c>
      <c r="AA15" s="11"/>
      <c r="AB15" s="12"/>
      <c r="AC15" s="11"/>
      <c r="AD15" s="11"/>
      <c r="AE15" s="11"/>
      <c r="AF15" s="37">
        <f t="shared" si="20"/>
        <v>0</v>
      </c>
      <c r="AG15" s="11"/>
      <c r="AH15" s="11"/>
      <c r="AI15" s="37">
        <f t="shared" ref="AI15" si="154">IF(AH15="Bartender",(HLOOKUP(AG15,FriFoodTable,6)*AB15)+(HLOOKUP(AG15,FriHostTable,6)*AB15)+AK15,SUM(AK15,AL15,AM15))</f>
        <v>0</v>
      </c>
      <c r="AJ15" s="37">
        <f t="shared" ref="AJ15" si="155">IFERROR(IF(AH15="Bartender",(HLOOKUP(AG15,FriBarTable,6)*AB15)+AI15,AC15+AI15),"")</f>
        <v>0</v>
      </c>
      <c r="AK15" s="7">
        <f t="shared" ref="AK15" si="156">IF(AH15="Server",-AE15*AlcoholTipPercentage,0)+IF(AH15="Bartender",HLOOKUP(AG15,FriBarTable,5)*AB15)</f>
        <v>0</v>
      </c>
      <c r="AL15" s="7" t="str" cm="1">
        <f t="array" ref="AL15">IFERROR(_xlfn.IFS(HLOOKUP(AG15,FriFoodTable,2)=0,0,OR(AH15="Server",AH15="Bartender"),-AD15*FoodTipPercentage,OR(AH15="Expo",AH15="Food Runner"),HLOOKUP(AG15,FriFoodTable,5)*AB15,AH15="Host",0),"")</f>
        <v/>
      </c>
      <c r="AM15" s="7" t="str" cm="1">
        <f t="array" ref="AM15">IFERROR(_xlfn.IFS(HLOOKUP(AG15,FriHostTable,2)=0,0,OR(AH15="Server",AH15="Bartender"),-AF15*HostTipPercentage,AH15="Host",HLOOKUP(AG15,FriHostTable,5)*AB15,OR(AH15="Expo",AH15="Food Runner"),0),"")</f>
        <v/>
      </c>
      <c r="AN15" s="4"/>
      <c r="AO15" s="5"/>
      <c r="AP15" s="4"/>
      <c r="AQ15" s="4"/>
      <c r="AR15" s="4"/>
      <c r="AS15" s="36">
        <f t="shared" si="24"/>
        <v>0</v>
      </c>
      <c r="AT15" s="4"/>
      <c r="AU15" s="4"/>
      <c r="AV15" s="36">
        <f t="shared" ref="AV15" si="157">IF(AU15="Bartender",(HLOOKUP(AT15,SunFoodTable,6)*AO15)+(HLOOKUP(AT15,SunHostTable,6)*AO15)+AX15,SUM(AX15,AY15,AZ15))</f>
        <v>0</v>
      </c>
      <c r="AW15" s="36">
        <f t="shared" ref="AW15" si="158">IFERROR(IF(AU15="Bartender",(HLOOKUP(AT15,SunBarTable,6)*AO15)+AV15,AP15+AV15),"")</f>
        <v>0</v>
      </c>
      <c r="AX15" s="7">
        <f t="shared" ref="AX15" si="159">IF(AU15="Server",-AR15*AlcoholTipPercentage,0)+IF(AU15="Bartender",HLOOKUP(AT15,SunBarTable,5)*AO15)</f>
        <v>0</v>
      </c>
      <c r="AY15" s="7" t="str" cm="1">
        <f t="array" ref="AY15">IFERROR(_xlfn.IFS(HLOOKUP(AT15,SunFoodTable,2)=0,0,OR(AU15="Server",AU15="Bartender"),-AQ15*FoodTipPercentage,OR(AU15="Expo",AU15="Food Runner"),HLOOKUP(AT15,SunFoodTable,5)*AO15,AU15="Host",0),"")</f>
        <v/>
      </c>
      <c r="AZ15" s="7" t="str" cm="1">
        <f t="array" ref="AZ15">IFERROR(_xlfn.IFS(HLOOKUP(AT15,SunHostTable,2)=0,0,OR(AU15="Server",AU15="Bartender"),-AS15*HostTipPercentage,AU15="Host",HLOOKUP(AT15,SunHostTable,5)*AO15,OR(AU15="Expo",AU15="Food Runner"),0),"")</f>
        <v/>
      </c>
    </row>
    <row r="16" spans="1:60" x14ac:dyDescent="0.2">
      <c r="A16" s="9"/>
      <c r="B16" s="10"/>
      <c r="C16" s="9"/>
      <c r="D16" s="9"/>
      <c r="E16" s="9"/>
      <c r="F16" s="1">
        <f t="shared" si="12"/>
        <v>0</v>
      </c>
      <c r="G16" s="9"/>
      <c r="H16" s="9"/>
      <c r="I16" s="1">
        <f t="shared" ref="I16" si="160">IF(H16="Bartender",(HLOOKUP(G16,MonFoodTable,6)*B16)+(HLOOKUP(G16,MonHostTable,6)*B16)+K16,SUM(K16,L16,M16))</f>
        <v>0</v>
      </c>
      <c r="J16" s="1">
        <f t="shared" ref="J16" si="161">IFERROR(IF(H16="Bartender",(HLOOKUP(G16,MonBarTable,6)*B16)+I16,C16+I16),"")</f>
        <v>0</v>
      </c>
      <c r="K16" s="7">
        <f t="shared" ref="K16" si="162">IF(H16="Server",-E16*AlcoholTipPercentage,0)+IF(H16="Bartender",HLOOKUP(G16,MonBarTable,5)*B16)</f>
        <v>0</v>
      </c>
      <c r="L16" s="7" t="str" cm="1">
        <f t="array" ref="L16">IFERROR(_xlfn.IFS(HLOOKUP(G16,MonFoodTable,2)=0,0,OR(H16="Server",H16="Bartender"),-D16*FoodTipPercentage,OR(H16="Expo",H16="Food Runner"),HLOOKUP(G16,MonFoodTable,5)*B16,H16="Host",0),"")</f>
        <v/>
      </c>
      <c r="M16" s="7" t="str" cm="1">
        <f t="array" ref="M16">IFERROR(_xlfn.IFS(HLOOKUP(G16,MonHostTable,2)=0,0,OR(H16="Server",H16="Bartender"),-F16*HostTipPercentage,H16="Host",HLOOKUP(G16,MonHostTable,5)*B16,OR(H16="Expo",H16="Food Runner"),0),"")</f>
        <v/>
      </c>
      <c r="N16" s="4"/>
      <c r="O16" s="5"/>
      <c r="P16" s="4"/>
      <c r="Q16" s="4"/>
      <c r="R16" s="4"/>
      <c r="S16" s="3">
        <f t="shared" si="16"/>
        <v>0</v>
      </c>
      <c r="T16" s="4"/>
      <c r="U16" s="4"/>
      <c r="V16" s="3">
        <f t="shared" ref="V16" si="163">IF(U16="Bartender",(HLOOKUP(T16,WedFoodTable,6)*O16)+(HLOOKUP(T16,WedHostTable,6)*O16)+X16,SUM(X16,Y16,Z16))</f>
        <v>0</v>
      </c>
      <c r="W16" s="3">
        <f t="shared" ref="W16" si="164">IFERROR(IF(U16="Bartender",(HLOOKUP(T16,WedBarTable,6)*O16)+V16,P16+V16),"")</f>
        <v>0</v>
      </c>
      <c r="X16" s="7">
        <f t="shared" ref="X16" si="165">IF(U16="Server",-R16*AlcoholTipPercentage,0)+IF(U16="Bartender",HLOOKUP(T16,WedBarTable,5)*O16)</f>
        <v>0</v>
      </c>
      <c r="Y16" s="7" t="str" cm="1">
        <f t="array" ref="Y16">IFERROR(_xlfn.IFS(HLOOKUP(T16,WedFoodTable,2)=0,0,OR(U16="Server",U16="Bartender"),-Q16*FoodTipPercentage,OR(U16="Expo",U16="Food Runner"),HLOOKUP(T16,WedFoodTable,5)*O16,U16="Host",0),"")</f>
        <v/>
      </c>
      <c r="Z16" s="7" t="str" cm="1">
        <f t="array" ref="Z16">IFERROR(_xlfn.IFS(HLOOKUP(T16,WedHostTable,2)=0,0,OR(U16="Server",U16="Bartender"),-S16*HostTipPercentage,U16="Host",HLOOKUP(T16,WedHostTable,5)*O16,OR(U16="Expo",U16="Food Runner"),0),"")</f>
        <v/>
      </c>
      <c r="AA16" s="11"/>
      <c r="AB16" s="12"/>
      <c r="AC16" s="11"/>
      <c r="AD16" s="11"/>
      <c r="AE16" s="11"/>
      <c r="AF16" s="37">
        <f t="shared" si="20"/>
        <v>0</v>
      </c>
      <c r="AG16" s="11"/>
      <c r="AH16" s="11"/>
      <c r="AI16" s="37">
        <f t="shared" ref="AI16" si="166">IF(AH16="Bartender",(HLOOKUP(AG16,FriFoodTable,6)*AB16)+(HLOOKUP(AG16,FriHostTable,6)*AB16)+AK16,SUM(AK16,AL16,AM16))</f>
        <v>0</v>
      </c>
      <c r="AJ16" s="37">
        <f t="shared" ref="AJ16" si="167">IFERROR(IF(AH16="Bartender",(HLOOKUP(AG16,FriBarTable,6)*AB16)+AI16,AC16+AI16),"")</f>
        <v>0</v>
      </c>
      <c r="AK16" s="7">
        <f t="shared" ref="AK16" si="168">IF(AH16="Server",-AE16*AlcoholTipPercentage,0)+IF(AH16="Bartender",HLOOKUP(AG16,FriBarTable,5)*AB16)</f>
        <v>0</v>
      </c>
      <c r="AL16" s="7" t="str" cm="1">
        <f t="array" ref="AL16">IFERROR(_xlfn.IFS(HLOOKUP(AG16,FriFoodTable,2)=0,0,OR(AH16="Server",AH16="Bartender"),-AD16*FoodTipPercentage,OR(AH16="Expo",AH16="Food Runner"),HLOOKUP(AG16,FriFoodTable,5)*AB16,AH16="Host",0),"")</f>
        <v/>
      </c>
      <c r="AM16" s="7" t="str" cm="1">
        <f t="array" ref="AM16">IFERROR(_xlfn.IFS(HLOOKUP(AG16,FriHostTable,2)=0,0,OR(AH16="Server",AH16="Bartender"),-AF16*HostTipPercentage,AH16="Host",HLOOKUP(AG16,FriHostTable,5)*AB16,OR(AH16="Expo",AH16="Food Runner"),0),"")</f>
        <v/>
      </c>
      <c r="AN16" s="4"/>
      <c r="AO16" s="5"/>
      <c r="AP16" s="4"/>
      <c r="AQ16" s="4"/>
      <c r="AR16" s="4"/>
      <c r="AS16" s="36">
        <f t="shared" si="24"/>
        <v>0</v>
      </c>
      <c r="AT16" s="4"/>
      <c r="AU16" s="4"/>
      <c r="AV16" s="36">
        <f t="shared" ref="AV16" si="169">IF(AU16="Bartender",(HLOOKUP(AT16,SunFoodTable,6)*AO16)+(HLOOKUP(AT16,SunHostTable,6)*AO16)+AX16,SUM(AX16,AY16,AZ16))</f>
        <v>0</v>
      </c>
      <c r="AW16" s="36">
        <f t="shared" ref="AW16" si="170">IFERROR(IF(AU16="Bartender",(HLOOKUP(AT16,SunBarTable,6)*AO16)+AV16,AP16+AV16),"")</f>
        <v>0</v>
      </c>
      <c r="AX16" s="7">
        <f t="shared" ref="AX16" si="171">IF(AU16="Server",-AR16*AlcoholTipPercentage,0)+IF(AU16="Bartender",HLOOKUP(AT16,SunBarTable,5)*AO16)</f>
        <v>0</v>
      </c>
      <c r="AY16" s="7" t="str" cm="1">
        <f t="array" ref="AY16">IFERROR(_xlfn.IFS(HLOOKUP(AT16,SunFoodTable,2)=0,0,OR(AU16="Server",AU16="Bartender"),-AQ16*FoodTipPercentage,OR(AU16="Expo",AU16="Food Runner"),HLOOKUP(AT16,SunFoodTable,5)*AO16,AU16="Host",0),"")</f>
        <v/>
      </c>
      <c r="AZ16" s="7" t="str" cm="1">
        <f t="array" ref="AZ16">IFERROR(_xlfn.IFS(HLOOKUP(AT16,SunHostTable,2)=0,0,OR(AU16="Server",AU16="Bartender"),-AS16*HostTipPercentage,AU16="Host",HLOOKUP(AT16,SunHostTable,5)*AO16,OR(AU16="Expo",AU16="Food Runner"),0),"")</f>
        <v/>
      </c>
    </row>
    <row r="17" spans="1:52" x14ac:dyDescent="0.2">
      <c r="A17" s="9"/>
      <c r="B17" s="10"/>
      <c r="C17" s="9"/>
      <c r="D17" s="9"/>
      <c r="E17" s="9"/>
      <c r="F17" s="1">
        <f t="shared" si="12"/>
        <v>0</v>
      </c>
      <c r="G17" s="9"/>
      <c r="H17" s="9"/>
      <c r="I17" s="1">
        <f t="shared" ref="I17" si="172">IF(H17="Bartender",(HLOOKUP(G17,MonFoodTable,6)*B17)+(HLOOKUP(G17,MonHostTable,6)*B17)+K17,SUM(K17,L17,M17))</f>
        <v>0</v>
      </c>
      <c r="J17" s="1">
        <f t="shared" ref="J17" si="173">IFERROR(IF(H17="Bartender",(HLOOKUP(G17,MonBarTable,6)*B17)+I17,C17+I17),"")</f>
        <v>0</v>
      </c>
      <c r="K17" s="7">
        <f t="shared" ref="K17" si="174">IF(H17="Server",-E17*AlcoholTipPercentage,0)+IF(H17="Bartender",HLOOKUP(G17,MonBarTable,5)*B17)</f>
        <v>0</v>
      </c>
      <c r="L17" s="7" t="str" cm="1">
        <f t="array" ref="L17">IFERROR(_xlfn.IFS(HLOOKUP(G17,MonFoodTable,2)=0,0,OR(H17="Server",H17="Bartender"),-D17*FoodTipPercentage,OR(H17="Expo",H17="Food Runner"),HLOOKUP(G17,MonFoodTable,5)*B17,H17="Host",0),"")</f>
        <v/>
      </c>
      <c r="M17" s="7" t="str" cm="1">
        <f t="array" ref="M17">IFERROR(_xlfn.IFS(HLOOKUP(G17,MonHostTable,2)=0,0,OR(H17="Server",H17="Bartender"),-F17*HostTipPercentage,H17="Host",HLOOKUP(G17,MonHostTable,5)*B17,OR(H17="Expo",H17="Food Runner"),0),"")</f>
        <v/>
      </c>
      <c r="N17" s="4"/>
      <c r="O17" s="5"/>
      <c r="P17" s="4"/>
      <c r="Q17" s="4"/>
      <c r="R17" s="4"/>
      <c r="S17" s="36">
        <f t="shared" si="16"/>
        <v>0</v>
      </c>
      <c r="T17" s="4"/>
      <c r="U17" s="4"/>
      <c r="V17" s="3">
        <f t="shared" ref="V17" si="175">IF(U17="Bartender",(HLOOKUP(T17,WedFoodTable,6)*O17)+(HLOOKUP(T17,WedHostTable,6)*O17)+X17,SUM(X17,Y17,Z17))</f>
        <v>0</v>
      </c>
      <c r="W17" s="36">
        <f t="shared" ref="W17" si="176">IFERROR(IF(U17="Bartender",(HLOOKUP(T17,WedBarTable,6)*O17)+V17,P17+V17),"")</f>
        <v>0</v>
      </c>
      <c r="X17" s="7">
        <f t="shared" ref="X17" si="177">IF(U17="Server",-R17*AlcoholTipPercentage,0)+IF(U17="Bartender",HLOOKUP(T17,WedBarTable,5)*O17)</f>
        <v>0</v>
      </c>
      <c r="Y17" s="7" t="str" cm="1">
        <f t="array" ref="Y17">IFERROR(_xlfn.IFS(HLOOKUP(T17,WedFoodTable,2)=0,0,OR(U17="Server",U17="Bartender"),-Q17*FoodTipPercentage,OR(U17="Expo",U17="Food Runner"),HLOOKUP(T17,WedFoodTable,5)*O17,U17="Host",0),"")</f>
        <v/>
      </c>
      <c r="Z17" s="7" t="str" cm="1">
        <f t="array" ref="Z17">IFERROR(_xlfn.IFS(HLOOKUP(T17,WedHostTable,2)=0,0,OR(U17="Server",U17="Bartender"),-S17*HostTipPercentage,U17="Host",HLOOKUP(T17,WedHostTable,5)*O17,OR(U17="Expo",U17="Food Runner"),0),"")</f>
        <v/>
      </c>
      <c r="AA17" s="11"/>
      <c r="AB17" s="12"/>
      <c r="AC17" s="11"/>
      <c r="AD17" s="11"/>
      <c r="AE17" s="11"/>
      <c r="AF17" s="37">
        <f t="shared" si="20"/>
        <v>0</v>
      </c>
      <c r="AG17" s="11"/>
      <c r="AH17" s="11"/>
      <c r="AI17" s="37">
        <f t="shared" ref="AI17" si="178">IF(AH17="Bartender",(HLOOKUP(AG17,FriFoodTable,6)*AB17)+(HLOOKUP(AG17,FriHostTable,6)*AB17)+AK17,SUM(AK17,AL17,AM17))</f>
        <v>0</v>
      </c>
      <c r="AJ17" s="37">
        <f t="shared" ref="AJ17" si="179">IFERROR(IF(AH17="Bartender",(HLOOKUP(AG17,FriBarTable,6)*AB17)+AI17,AC17+AI17),"")</f>
        <v>0</v>
      </c>
      <c r="AK17" s="7">
        <f t="shared" ref="AK17" si="180">IF(AH17="Server",-AE17*AlcoholTipPercentage,0)+IF(AH17="Bartender",HLOOKUP(AG17,FriBarTable,5)*AB17)</f>
        <v>0</v>
      </c>
      <c r="AL17" s="7" t="str" cm="1">
        <f t="array" ref="AL17">IFERROR(_xlfn.IFS(HLOOKUP(AG17,FriFoodTable,2)=0,0,OR(AH17="Server",AH17="Bartender"),-AD17*FoodTipPercentage,OR(AH17="Expo",AH17="Food Runner"),HLOOKUP(AG17,FriFoodTable,5)*AB17,AH17="Host",0),"")</f>
        <v/>
      </c>
      <c r="AM17" s="7" t="str" cm="1">
        <f t="array" ref="AM17">IFERROR(_xlfn.IFS(HLOOKUP(AG17,FriHostTable,2)=0,0,OR(AH17="Server",AH17="Bartender"),-AF17*HostTipPercentage,AH17="Host",HLOOKUP(AG17,FriHostTable,5)*AB17,OR(AH17="Expo",AH17="Food Runner"),0),"")</f>
        <v/>
      </c>
      <c r="AN17" s="4"/>
      <c r="AO17" s="5"/>
      <c r="AP17" s="4"/>
      <c r="AQ17" s="4"/>
      <c r="AR17" s="4"/>
      <c r="AS17" s="36">
        <f t="shared" si="24"/>
        <v>0</v>
      </c>
      <c r="AT17" s="4"/>
      <c r="AU17" s="4"/>
      <c r="AV17" s="36">
        <f t="shared" ref="AV17" si="181">IF(AU17="Bartender",(HLOOKUP(AT17,SunFoodTable,6)*AO17)+(HLOOKUP(AT17,SunHostTable,6)*AO17)+AX17,SUM(AX17,AY17,AZ17))</f>
        <v>0</v>
      </c>
      <c r="AW17" s="36">
        <f t="shared" ref="AW17" si="182">IFERROR(IF(AU17="Bartender",(HLOOKUP(AT17,SunBarTable,6)*AO17)+AV17,AP17+AV17),"")</f>
        <v>0</v>
      </c>
      <c r="AX17" s="7">
        <f t="shared" ref="AX17" si="183">IF(AU17="Server",-AR17*AlcoholTipPercentage,0)+IF(AU17="Bartender",HLOOKUP(AT17,SunBarTable,5)*AO17)</f>
        <v>0</v>
      </c>
      <c r="AY17" s="7" t="str" cm="1">
        <f t="array" ref="AY17">IFERROR(_xlfn.IFS(HLOOKUP(AT17,SunFoodTable,2)=0,0,OR(AU17="Server",AU17="Bartender"),-AQ17*FoodTipPercentage,OR(AU17="Expo",AU17="Food Runner"),HLOOKUP(AT17,SunFoodTable,5)*AO17,AU17="Host",0),"")</f>
        <v/>
      </c>
      <c r="AZ17" s="7" t="str" cm="1">
        <f t="array" ref="AZ17">IFERROR(_xlfn.IFS(HLOOKUP(AT17,SunHostTable,2)=0,0,OR(AU17="Server",AU17="Bartender"),-AS17*HostTipPercentage,AU17="Host",HLOOKUP(AT17,SunHostTable,5)*AO17,OR(AU17="Expo",AU17="Food Runner"),0),"")</f>
        <v/>
      </c>
    </row>
    <row r="18" spans="1:52" x14ac:dyDescent="0.2">
      <c r="A18" s="9"/>
      <c r="B18" s="10"/>
      <c r="C18" s="9"/>
      <c r="D18" s="9"/>
      <c r="E18" s="9"/>
      <c r="F18" s="1">
        <f t="shared" si="12"/>
        <v>0</v>
      </c>
      <c r="G18" s="9"/>
      <c r="H18" s="9"/>
      <c r="I18" s="1">
        <f t="shared" ref="I18" si="184">IF(H18="Bartender",(HLOOKUP(G18,MonFoodTable,6)*B18)+(HLOOKUP(G18,MonHostTable,6)*B18)+K18,SUM(K18,L18,M18))</f>
        <v>0</v>
      </c>
      <c r="J18" s="1">
        <f t="shared" ref="J18" si="185">IFERROR(IF(H18="Bartender",(HLOOKUP(G18,MonBarTable,6)*B18)+I18,C18+I18),"")</f>
        <v>0</v>
      </c>
      <c r="K18" s="7">
        <f t="shared" ref="K18" si="186">IF(H18="Server",-E18*AlcoholTipPercentage,0)+IF(H18="Bartender",HLOOKUP(G18,MonBarTable,5)*B18)</f>
        <v>0</v>
      </c>
      <c r="L18" s="7" t="str" cm="1">
        <f t="array" ref="L18">IFERROR(_xlfn.IFS(HLOOKUP(G18,MonFoodTable,2)=0,0,OR(H18="Server",H18="Bartender"),-D18*FoodTipPercentage,OR(H18="Expo",H18="Food Runner"),HLOOKUP(G18,MonFoodTable,5)*B18,H18="Host",0),"")</f>
        <v/>
      </c>
      <c r="M18" s="7" t="str" cm="1">
        <f t="array" ref="M18">IFERROR(_xlfn.IFS(HLOOKUP(G18,MonHostTable,2)=0,0,OR(H18="Server",H18="Bartender"),-F18*HostTipPercentage,H18="Host",HLOOKUP(G18,MonHostTable,5)*B18,OR(H18="Expo",H18="Food Runner"),0),"")</f>
        <v/>
      </c>
      <c r="N18" s="4"/>
      <c r="O18" s="5"/>
      <c r="P18" s="4"/>
      <c r="Q18" s="4"/>
      <c r="R18" s="4"/>
      <c r="S18" s="36">
        <f t="shared" si="16"/>
        <v>0</v>
      </c>
      <c r="T18" s="4"/>
      <c r="U18" s="4"/>
      <c r="V18" s="3">
        <f t="shared" ref="V18" si="187">IF(U18="Bartender",(HLOOKUP(T18,WedFoodTable,6)*O18)+(HLOOKUP(T18,WedHostTable,6)*O18)+X18,SUM(X18,Y18,Z18))</f>
        <v>0</v>
      </c>
      <c r="W18" s="36">
        <f t="shared" ref="W18" si="188">IFERROR(IF(U18="Bartender",(HLOOKUP(T18,WedBarTable,6)*O18)+V18,P18+V18),"")</f>
        <v>0</v>
      </c>
      <c r="X18" s="7">
        <f t="shared" ref="X18" si="189">IF(U18="Server",-R18*AlcoholTipPercentage,0)+IF(U18="Bartender",HLOOKUP(T18,WedBarTable,5)*O18)</f>
        <v>0</v>
      </c>
      <c r="Y18" s="7" t="str" cm="1">
        <f t="array" ref="Y18">IFERROR(_xlfn.IFS(HLOOKUP(T18,WedFoodTable,2)=0,0,OR(U18="Server",U18="Bartender"),-Q18*FoodTipPercentage,OR(U18="Expo",U18="Food Runner"),HLOOKUP(T18,WedFoodTable,5)*O18,U18="Host",0),"")</f>
        <v/>
      </c>
      <c r="Z18" s="7" t="str" cm="1">
        <f t="array" ref="Z18">IFERROR(_xlfn.IFS(HLOOKUP(T18,WedHostTable,2)=0,0,OR(U18="Server",U18="Bartender"),-S18*HostTipPercentage,U18="Host",HLOOKUP(T18,WedHostTable,5)*O18,OR(U18="Expo",U18="Food Runner"),0),"")</f>
        <v/>
      </c>
      <c r="AA18" s="11"/>
      <c r="AB18" s="12"/>
      <c r="AC18" s="11"/>
      <c r="AD18" s="11"/>
      <c r="AE18" s="11"/>
      <c r="AF18" s="37">
        <f t="shared" si="20"/>
        <v>0</v>
      </c>
      <c r="AG18" s="11"/>
      <c r="AH18" s="11"/>
      <c r="AI18" s="37">
        <f t="shared" ref="AI18" si="190">IF(AH18="Bartender",(HLOOKUP(AG18,FriFoodTable,6)*AB18)+(HLOOKUP(AG18,FriHostTable,6)*AB18)+AK18,SUM(AK18,AL18,AM18))</f>
        <v>0</v>
      </c>
      <c r="AJ18" s="37">
        <f t="shared" ref="AJ18" si="191">IFERROR(IF(AH18="Bartender",(HLOOKUP(AG18,FriBarTable,6)*AB18)+AI18,AC18+AI18),"")</f>
        <v>0</v>
      </c>
      <c r="AK18" s="7">
        <f t="shared" ref="AK18" si="192">IF(AH18="Server",-AE18*AlcoholTipPercentage,0)+IF(AH18="Bartender",HLOOKUP(AG18,FriBarTable,5)*AB18)</f>
        <v>0</v>
      </c>
      <c r="AL18" s="7" t="str" cm="1">
        <f t="array" ref="AL18">IFERROR(_xlfn.IFS(HLOOKUP(AG18,FriFoodTable,2)=0,0,OR(AH18="Server",AH18="Bartender"),-AD18*FoodTipPercentage,OR(AH18="Expo",AH18="Food Runner"),HLOOKUP(AG18,FriFoodTable,5)*AB18,AH18="Host",0),"")</f>
        <v/>
      </c>
      <c r="AM18" s="7" t="str" cm="1">
        <f t="array" ref="AM18">IFERROR(_xlfn.IFS(HLOOKUP(AG18,FriHostTable,2)=0,0,OR(AH18="Server",AH18="Bartender"),-AF18*HostTipPercentage,AH18="Host",HLOOKUP(AG18,FriHostTable,5)*AB18,OR(AH18="Expo",AH18="Food Runner"),0),"")</f>
        <v/>
      </c>
      <c r="AN18" s="4"/>
      <c r="AO18" s="5"/>
      <c r="AP18" s="4"/>
      <c r="AQ18" s="4"/>
      <c r="AR18" s="4"/>
      <c r="AS18" s="36">
        <f t="shared" si="24"/>
        <v>0</v>
      </c>
      <c r="AT18" s="4"/>
      <c r="AU18" s="4"/>
      <c r="AV18" s="36">
        <f t="shared" ref="AV18" si="193">IF(AU18="Bartender",(HLOOKUP(AT18,SunFoodTable,6)*AO18)+(HLOOKUP(AT18,SunHostTable,6)*AO18)+AX18,SUM(AX18,AY18,AZ18))</f>
        <v>0</v>
      </c>
      <c r="AW18" s="36">
        <f t="shared" ref="AW18" si="194">IFERROR(IF(AU18="Bartender",(HLOOKUP(AT18,SunBarTable,6)*AO18)+AV18,AP18+AV18),"")</f>
        <v>0</v>
      </c>
      <c r="AX18" s="7">
        <f t="shared" ref="AX18" si="195">IF(AU18="Server",-AR18*AlcoholTipPercentage,0)+IF(AU18="Bartender",HLOOKUP(AT18,SunBarTable,5)*AO18)</f>
        <v>0</v>
      </c>
      <c r="AY18" s="7" t="str" cm="1">
        <f t="array" ref="AY18">IFERROR(_xlfn.IFS(HLOOKUP(AT18,SunFoodTable,2)=0,0,OR(AU18="Server",AU18="Bartender"),-AQ18*FoodTipPercentage,OR(AU18="Expo",AU18="Food Runner"),HLOOKUP(AT18,SunFoodTable,5)*AO18,AU18="Host",0),"")</f>
        <v/>
      </c>
      <c r="AZ18" s="7" t="str" cm="1">
        <f t="array" ref="AZ18">IFERROR(_xlfn.IFS(HLOOKUP(AT18,SunHostTable,2)=0,0,OR(AU18="Server",AU18="Bartender"),-AS18*HostTipPercentage,AU18="Host",HLOOKUP(AT18,SunHostTable,5)*AO18,OR(AU18="Expo",AU18="Food Runner"),0),"")</f>
        <v/>
      </c>
    </row>
    <row r="19" spans="1:52" x14ac:dyDescent="0.2">
      <c r="A19" s="9"/>
      <c r="B19" s="10"/>
      <c r="C19" s="9"/>
      <c r="D19" s="9"/>
      <c r="E19" s="9"/>
      <c r="F19" s="1">
        <f t="shared" si="12"/>
        <v>0</v>
      </c>
      <c r="G19" s="9"/>
      <c r="H19" s="9"/>
      <c r="I19" s="1">
        <f t="shared" ref="I19" si="196">IF(H19="Bartender",(HLOOKUP(G19,MonFoodTable,6)*B19)+(HLOOKUP(G19,MonHostTable,6)*B19)+K19,SUM(K19,L19,M19))</f>
        <v>0</v>
      </c>
      <c r="J19" s="1">
        <f t="shared" ref="J19" si="197">IFERROR(IF(H19="Bartender",(HLOOKUP(G19,MonBarTable,6)*B19)+I19,C19+I19),"")</f>
        <v>0</v>
      </c>
      <c r="K19" s="7">
        <f t="shared" ref="K19" si="198">IF(H19="Server",-E19*AlcoholTipPercentage,0)+IF(H19="Bartender",HLOOKUP(G19,MonBarTable,5)*B19)</f>
        <v>0</v>
      </c>
      <c r="L19" s="7" t="str" cm="1">
        <f t="array" ref="L19">IFERROR(_xlfn.IFS(HLOOKUP(G19,MonFoodTable,2)=0,0,OR(H19="Server",H19="Bartender"),-D19*FoodTipPercentage,OR(H19="Expo",H19="Food Runner"),HLOOKUP(G19,MonFoodTable,5)*B19,H19="Host",0),"")</f>
        <v/>
      </c>
      <c r="M19" s="7" t="str" cm="1">
        <f t="array" ref="M19">IFERROR(_xlfn.IFS(HLOOKUP(G19,MonHostTable,2)=0,0,OR(H19="Server",H19="Bartender"),-F19*HostTipPercentage,H19="Host",HLOOKUP(G19,MonHostTable,5)*B19,OR(H19="Expo",H19="Food Runner"),0),"")</f>
        <v/>
      </c>
      <c r="N19" s="4"/>
      <c r="O19" s="5"/>
      <c r="P19" s="4"/>
      <c r="Q19" s="4"/>
      <c r="R19" s="4"/>
      <c r="S19" s="36">
        <f t="shared" si="16"/>
        <v>0</v>
      </c>
      <c r="T19" s="4"/>
      <c r="U19" s="4"/>
      <c r="V19" s="3">
        <f t="shared" ref="V19" si="199">IF(U19="Bartender",(HLOOKUP(T19,WedFoodTable,6)*O19)+(HLOOKUP(T19,WedHostTable,6)*O19)+X19,SUM(X19,Y19,Z19))</f>
        <v>0</v>
      </c>
      <c r="W19" s="36">
        <f t="shared" ref="W19" si="200">IFERROR(IF(U19="Bartender",(HLOOKUP(T19,WedBarTable,6)*O19)+V19,P19+V19),"")</f>
        <v>0</v>
      </c>
      <c r="X19" s="7">
        <f t="shared" ref="X19" si="201">IF(U19="Server",-R19*AlcoholTipPercentage,0)+IF(U19="Bartender",HLOOKUP(T19,WedBarTable,5)*O19)</f>
        <v>0</v>
      </c>
      <c r="Y19" s="7" t="str" cm="1">
        <f t="array" ref="Y19">IFERROR(_xlfn.IFS(HLOOKUP(T19,WedFoodTable,2)=0,0,OR(U19="Server",U19="Bartender"),-Q19*FoodTipPercentage,OR(U19="Expo",U19="Food Runner"),HLOOKUP(T19,WedFoodTable,5)*O19,U19="Host",0),"")</f>
        <v/>
      </c>
      <c r="Z19" s="7" t="str" cm="1">
        <f t="array" ref="Z19">IFERROR(_xlfn.IFS(HLOOKUP(T19,WedHostTable,2)=0,0,OR(U19="Server",U19="Bartender"),-S19*HostTipPercentage,U19="Host",HLOOKUP(T19,WedHostTable,5)*O19,OR(U19="Expo",U19="Food Runner"),0),"")</f>
        <v/>
      </c>
      <c r="AA19" s="11"/>
      <c r="AB19" s="12"/>
      <c r="AC19" s="11"/>
      <c r="AD19" s="11"/>
      <c r="AE19" s="11"/>
      <c r="AF19" s="37">
        <f t="shared" si="20"/>
        <v>0</v>
      </c>
      <c r="AG19" s="11"/>
      <c r="AH19" s="11"/>
      <c r="AI19" s="37">
        <f t="shared" ref="AI19" si="202">IF(AH19="Bartender",(HLOOKUP(AG19,FriFoodTable,6)*AB19)+(HLOOKUP(AG19,FriHostTable,6)*AB19)+AK19,SUM(AK19,AL19,AM19))</f>
        <v>0</v>
      </c>
      <c r="AJ19" s="37">
        <f t="shared" ref="AJ19" si="203">IFERROR(IF(AH19="Bartender",(HLOOKUP(AG19,FriBarTable,6)*AB19)+AI19,AC19+AI19),"")</f>
        <v>0</v>
      </c>
      <c r="AK19" s="7">
        <f t="shared" ref="AK19" si="204">IF(AH19="Server",-AE19*AlcoholTipPercentage,0)+IF(AH19="Bartender",HLOOKUP(AG19,FriBarTable,5)*AB19)</f>
        <v>0</v>
      </c>
      <c r="AL19" s="7" t="str" cm="1">
        <f t="array" ref="AL19">IFERROR(_xlfn.IFS(HLOOKUP(AG19,FriFoodTable,2)=0,0,OR(AH19="Server",AH19="Bartender"),-AD19*FoodTipPercentage,OR(AH19="Expo",AH19="Food Runner"),HLOOKUP(AG19,FriFoodTable,5)*AB19,AH19="Host",0),"")</f>
        <v/>
      </c>
      <c r="AM19" s="7" t="str" cm="1">
        <f t="array" ref="AM19">IFERROR(_xlfn.IFS(HLOOKUP(AG19,FriHostTable,2)=0,0,OR(AH19="Server",AH19="Bartender"),-AF19*HostTipPercentage,AH19="Host",HLOOKUP(AG19,FriHostTable,5)*AB19,OR(AH19="Expo",AH19="Food Runner"),0),"")</f>
        <v/>
      </c>
      <c r="AN19" s="4"/>
      <c r="AO19" s="5"/>
      <c r="AP19" s="4"/>
      <c r="AQ19" s="4"/>
      <c r="AR19" s="4"/>
      <c r="AS19" s="36">
        <f t="shared" si="24"/>
        <v>0</v>
      </c>
      <c r="AT19" s="4"/>
      <c r="AU19" s="4"/>
      <c r="AV19" s="36">
        <f t="shared" ref="AV19" si="205">IF(AU19="Bartender",(HLOOKUP(AT19,SunFoodTable,6)*AO19)+(HLOOKUP(AT19,SunHostTable,6)*AO19)+AX19,SUM(AX19,AY19,AZ19))</f>
        <v>0</v>
      </c>
      <c r="AW19" s="36">
        <f t="shared" ref="AW19" si="206">IFERROR(IF(AU19="Bartender",(HLOOKUP(AT19,SunBarTable,6)*AO19)+AV19,AP19+AV19),"")</f>
        <v>0</v>
      </c>
      <c r="AX19" s="7">
        <f t="shared" ref="AX19" si="207">IF(AU19="Server",-AR19*AlcoholTipPercentage,0)+IF(AU19="Bartender",HLOOKUP(AT19,SunBarTable,5)*AO19)</f>
        <v>0</v>
      </c>
      <c r="AY19" s="7" t="str" cm="1">
        <f t="array" ref="AY19">IFERROR(_xlfn.IFS(HLOOKUP(AT19,SunFoodTable,2)=0,0,OR(AU19="Server",AU19="Bartender"),-AQ19*FoodTipPercentage,OR(AU19="Expo",AU19="Food Runner"),HLOOKUP(AT19,SunFoodTable,5)*AO19,AU19="Host",0),"")</f>
        <v/>
      </c>
      <c r="AZ19" s="7" t="str" cm="1">
        <f t="array" ref="AZ19">IFERROR(_xlfn.IFS(HLOOKUP(AT19,SunHostTable,2)=0,0,OR(AU19="Server",AU19="Bartender"),-AS19*HostTipPercentage,AU19="Host",HLOOKUP(AT19,SunHostTable,5)*AO19,OR(AU19="Expo",AU19="Food Runner"),0),"")</f>
        <v/>
      </c>
    </row>
    <row r="20" spans="1:52" hidden="1" x14ac:dyDescent="0.2">
      <c r="A20" s="7" t="s">
        <v>15</v>
      </c>
      <c r="B20" s="13" t="s">
        <v>15</v>
      </c>
      <c r="C20" s="7" t="s">
        <v>26</v>
      </c>
      <c r="D20" s="7" t="s">
        <v>33</v>
      </c>
      <c r="E20" s="7" t="s">
        <v>30</v>
      </c>
      <c r="I20" s="7" t="s">
        <v>34</v>
      </c>
      <c r="K20" s="7">
        <f>SUM(K3:K19)</f>
        <v>0</v>
      </c>
      <c r="L20" s="7">
        <f>SUM(L3:L19)</f>
        <v>0</v>
      </c>
      <c r="M20" s="7">
        <f ca="1">SUM(M3:M19)</f>
        <v>0</v>
      </c>
      <c r="N20" s="7" t="s">
        <v>15</v>
      </c>
      <c r="O20" s="13" t="s">
        <v>15</v>
      </c>
      <c r="P20" s="7" t="s">
        <v>26</v>
      </c>
      <c r="Q20" s="7" t="s">
        <v>33</v>
      </c>
      <c r="R20" s="7" t="s">
        <v>30</v>
      </c>
      <c r="V20" s="7" t="s">
        <v>34</v>
      </c>
      <c r="X20" s="7">
        <f>SUM(X3:X19)</f>
        <v>0</v>
      </c>
      <c r="Y20" s="7">
        <f ca="1">SUM(Y3:Y19)</f>
        <v>0</v>
      </c>
      <c r="Z20" s="7">
        <f ca="1">SUM(Z3:Z19)</f>
        <v>0</v>
      </c>
      <c r="AA20" s="7" t="s">
        <v>15</v>
      </c>
      <c r="AB20" s="13" t="s">
        <v>15</v>
      </c>
      <c r="AC20" s="7" t="s">
        <v>26</v>
      </c>
      <c r="AD20" s="7" t="s">
        <v>33</v>
      </c>
      <c r="AE20" s="7" t="s">
        <v>30</v>
      </c>
      <c r="AI20" s="7" t="s">
        <v>34</v>
      </c>
      <c r="AK20" s="7">
        <f>SUM(AK3:AK19)</f>
        <v>1.7763568394002505E-15</v>
      </c>
      <c r="AL20" s="7">
        <f ca="1">SUM(AL3:AL19)</f>
        <v>0</v>
      </c>
      <c r="AM20" s="7">
        <f ca="1">SUM(AM3:AM19)</f>
        <v>0</v>
      </c>
      <c r="AN20" s="7" t="s">
        <v>15</v>
      </c>
      <c r="AO20" s="13" t="s">
        <v>15</v>
      </c>
      <c r="AP20" s="7" t="s">
        <v>26</v>
      </c>
      <c r="AQ20" s="7" t="s">
        <v>33</v>
      </c>
      <c r="AR20" s="7" t="s">
        <v>30</v>
      </c>
      <c r="AV20" s="7" t="s">
        <v>34</v>
      </c>
      <c r="AX20" s="7">
        <f>SUM(AX3:AX19)</f>
        <v>0</v>
      </c>
      <c r="AY20" s="7">
        <f ca="1">SUM(AY3:AY19)</f>
        <v>0</v>
      </c>
      <c r="AZ20" s="7">
        <f ca="1">SUM(AZ3:AZ19)</f>
        <v>0</v>
      </c>
    </row>
    <row r="21" spans="1:52" hidden="1" x14ac:dyDescent="0.2">
      <c r="A21" s="7" t="s">
        <v>14</v>
      </c>
      <c r="B21" s="13" t="s">
        <v>20</v>
      </c>
      <c r="C21" s="7" t="s">
        <v>14</v>
      </c>
      <c r="D21" s="7" t="s">
        <v>20</v>
      </c>
      <c r="E21" s="7" t="s">
        <v>14</v>
      </c>
      <c r="F21" s="7" t="s">
        <v>20</v>
      </c>
      <c r="N21" s="7" t="s">
        <v>14</v>
      </c>
      <c r="O21" s="13" t="s">
        <v>20</v>
      </c>
      <c r="P21" s="7" t="s">
        <v>14</v>
      </c>
      <c r="Q21" s="7" t="s">
        <v>20</v>
      </c>
      <c r="R21" s="7" t="s">
        <v>14</v>
      </c>
      <c r="S21" s="7" t="s">
        <v>20</v>
      </c>
      <c r="AA21" s="7" t="s">
        <v>14</v>
      </c>
      <c r="AB21" s="13" t="s">
        <v>20</v>
      </c>
      <c r="AC21" s="7" t="s">
        <v>14</v>
      </c>
      <c r="AD21" s="7" t="s">
        <v>20</v>
      </c>
      <c r="AE21" s="7" t="s">
        <v>14</v>
      </c>
      <c r="AF21" s="7" t="s">
        <v>20</v>
      </c>
      <c r="AN21" s="7" t="s">
        <v>14</v>
      </c>
      <c r="AO21" s="13" t="s">
        <v>20</v>
      </c>
      <c r="AP21" s="7" t="s">
        <v>14</v>
      </c>
      <c r="AQ21" s="7" t="s">
        <v>20</v>
      </c>
      <c r="AR21" s="7" t="s">
        <v>14</v>
      </c>
      <c r="AS21" s="7" t="s">
        <v>20</v>
      </c>
    </row>
    <row r="22" spans="1:52" hidden="1" x14ac:dyDescent="0.2">
      <c r="A22" s="7">
        <f>SUMIFS('Final Look'!MonHours,'Final Look'!MonAMPM,A21,'Final Look'!MonJobCode,"Bartender")</f>
        <v>8</v>
      </c>
      <c r="B22" s="13">
        <f>SUMIFS('Final Look'!MonHours,'Final Look'!MonAMPM,B21,'Final Look'!MonJobCode,"Bartender")</f>
        <v>8</v>
      </c>
      <c r="C22" s="7">
        <f>SUMIFS('Final Look'!MonHours,'Final Look'!MonAMPM,C21,'Final Look'!MonJobCode,"Food Runner")+SUMIFS('Final Look'!MonHours,'Final Look'!MonAMPM,C21,'Final Look'!MonJobCode,"Expo")</f>
        <v>0</v>
      </c>
      <c r="D22" s="7">
        <f>SUMIFS('Final Look'!MonHours,'Final Look'!MonAMPM,D21,'Final Look'!MonJobCode,"Food Runner")+SUMIFS('Final Look'!MonHours,'Final Look'!MonAMPM,D21,'Final Look'!MonJobCode,"Expo")</f>
        <v>0</v>
      </c>
      <c r="E22" s="7">
        <f>SUMIFS('Final Look'!MonHours,'Final Look'!MonAMPM,E21,'Final Look'!MonJobCode,"Host")</f>
        <v>0</v>
      </c>
      <c r="F22" s="7">
        <f>SUMIFS('Final Look'!MonHours,'Final Look'!MonAMPM,F21,'Final Look'!MonJobCode,"Host")</f>
        <v>0</v>
      </c>
      <c r="G22" s="7" t="s">
        <v>35</v>
      </c>
      <c r="N22" s="7">
        <f>SUMIFS('Final Look'!WedHours,'Final Look'!WedAMPM,N21,'Final Look'!WedJobCode,"Bartender")</f>
        <v>8</v>
      </c>
      <c r="O22" s="13">
        <f>SUMIFS('Final Look'!WedHours,'Final Look'!WedAMPM,O21,'Final Look'!WedJobCode,"Bartender")</f>
        <v>13</v>
      </c>
      <c r="P22" s="7">
        <f>SUMIFS('Final Look'!WedHours,'Final Look'!WedAMPM,P21,'Final Look'!WedJobCode,"Food Runner")+SUMIFS('Final Look'!WedHours,'Final Look'!WedAMPM,P21,'Final Look'!WedJobCode,"Expo")</f>
        <v>0</v>
      </c>
      <c r="Q22" s="7">
        <f>SUMIFS('Final Look'!WedHours,'Final Look'!WedAMPM,Q21,'Final Look'!WedJobCode,"Food Runner")+SUMIFS('Final Look'!WedHours,'Final Look'!WedAMPM,Q21,'Final Look'!WedJobCode,"Expo")</f>
        <v>4</v>
      </c>
      <c r="R22" s="7">
        <f>SUMIFS('Final Look'!WedHours,'Final Look'!WedAMPM,R21,'Final Look'!WedJobCode,"Host")</f>
        <v>6</v>
      </c>
      <c r="S22" s="7">
        <f>SUMIFS('Final Look'!WedHours,'Final Look'!WedAMPM,S21,'Final Look'!WedJobCode,"Host")</f>
        <v>6</v>
      </c>
      <c r="T22" s="7" t="s">
        <v>35</v>
      </c>
      <c r="AA22" s="7">
        <f>SUMIFS('Final Look'!FriHours,'Final Look'!FriAMPM,AA21,'Final Look'!FriJobCode,"Bartender")</f>
        <v>16</v>
      </c>
      <c r="AB22" s="13">
        <f>SUMIFS('Final Look'!FriHours,'Final Look'!FriAMPM,AB21,'Final Look'!FriJobCode,"Bartender")</f>
        <v>14</v>
      </c>
      <c r="AC22" s="7">
        <f>SUMIFS('Final Look'!FriHours,'Final Look'!FriAMPM,AC21,'Final Look'!FriJobCode,"Food Runner")+SUMIFS('Final Look'!FriHours,'Final Look'!FriAMPM,AC21,'Final Look'!FriJobCode,"Expo")</f>
        <v>0</v>
      </c>
      <c r="AD22" s="7">
        <f>SUMIFS('Final Look'!FriHours,'Final Look'!FriAMPM,AD21,'Final Look'!FriJobCode,"Food Runner")+SUMIFS('Final Look'!FriHours,'Final Look'!FriAMPM,AD21,'Final Look'!FriJobCode,"Expo")</f>
        <v>6</v>
      </c>
      <c r="AE22" s="7">
        <f>SUMIFS('Final Look'!FriHours,'Final Look'!FriAMPM,AE21,'Final Look'!FriJobCode,"Host")</f>
        <v>0</v>
      </c>
      <c r="AF22" s="7">
        <f>SUMIFS('Final Look'!FriHours,'Final Look'!FriAMPM,AF21,'Final Look'!FriJobCode,"Host")</f>
        <v>6</v>
      </c>
      <c r="AG22" s="7" t="s">
        <v>35</v>
      </c>
      <c r="AN22" s="7">
        <f>SUMIFS('Final Look'!SunHours,'Final Look'!SunAMPM,AN21,'Final Look'!SunJobCode,"Bartender")</f>
        <v>8</v>
      </c>
      <c r="AO22" s="13">
        <f>SUMIFS('Final Look'!SunHours,'Final Look'!SunAMPM,AO21,'Final Look'!SunJobCode,"Bartender")</f>
        <v>8</v>
      </c>
      <c r="AP22" s="7">
        <f>SUMIFS('Final Look'!SunHours,'Final Look'!SunAMPM,AP21,'Final Look'!SunJobCode,"Food Runner")+SUMIFS('Final Look'!SunHours,'Final Look'!SunAMPM,AP21,'Final Look'!SunJobCode,"Expo")</f>
        <v>6</v>
      </c>
      <c r="AQ22" s="7">
        <f>SUMIFS('Final Look'!SunHours,'Final Look'!SunAMPM,AQ21,'Final Look'!SunJobCode,"Food Runner")+SUMIFS('Final Look'!SunHours,'Final Look'!SunAMPM,AQ21,'Final Look'!SunJobCode,"Expo")</f>
        <v>7</v>
      </c>
      <c r="AR22" s="7">
        <f>SUMIFS('Final Look'!SunHours,'Final Look'!SunAMPM,AR21,'Final Look'!SunJobCode,"Host")</f>
        <v>0</v>
      </c>
      <c r="AS22" s="7">
        <f>SUMIFS('Final Look'!SunHours,'Final Look'!SunAMPM,AS21,'Final Look'!SunJobCode,"Host")</f>
        <v>0</v>
      </c>
      <c r="AT22" s="7" t="s">
        <v>35</v>
      </c>
    </row>
    <row r="23" spans="1:52" hidden="1" x14ac:dyDescent="0.2">
      <c r="A23" s="7">
        <f>SUMIFS(MonAlcTipout,'Final Look'!MonAMPM,A21,'Final Look'!MonJobCode,"&lt;&gt;Bartender")*-1</f>
        <v>3</v>
      </c>
      <c r="B23" s="66">
        <f>SUMIFS(MonAlcTipout,'Final Look'!MonAMPM,B21,'Final Look'!MonJobCode,"&lt;&gt;Bartender")*-1</f>
        <v>24</v>
      </c>
      <c r="C23" s="7">
        <f>ABS(IF(C22=0,0,(SUMIFS(MonFoodTipout,'Final Look'!MonAMPM,C21,'Final Look'!MonJobCode,"Server")+(SUMIFS(MonFoodTipout,'Final Look'!MonAMPM,C21,'Final Look'!MonJobCode,"Bartender")))))</f>
        <v>0</v>
      </c>
      <c r="D23" s="7">
        <f>ABS(IF(D22=0,0,(SUMIFS(MonFoodTipout,'Final Look'!MonAMPM,D21,'Final Look'!MonJobCode,"Server")+(SUMIFS(MonFoodTipout,'Final Look'!MonAMPM,D21,'Final Look'!MonJobCode,"Bartender")))))</f>
        <v>0</v>
      </c>
      <c r="E23" s="7">
        <f ca="1">ABS(SUMIFS(MonHostTipout,'Final Look'!MonAMPM,E21,'Final Look'!MonJobCode,"&lt;&gt;Host"))</f>
        <v>0</v>
      </c>
      <c r="F23" s="7">
        <f ca="1">ABS(SUMIFS(MonHostTipout,'Final Look'!MonAMPM,F21,'Final Look'!MonJobCode,"&lt;&gt;Host"))</f>
        <v>0</v>
      </c>
      <c r="G23" s="7" t="s">
        <v>36</v>
      </c>
      <c r="N23" s="7">
        <f>SUMIFS(WedAlcTipout,'Final Look'!WedAMPM,N21,'Final Look'!WedJobCode,"&lt;&gt;Bartender")*-1</f>
        <v>20.34</v>
      </c>
      <c r="O23" s="66">
        <f>SUMIFS(WedAlcTipout,'Final Look'!WedAMPM,O21,'Final Look'!WedJobCode,"&lt;&gt;Bartender")*-1</f>
        <v>56.22</v>
      </c>
      <c r="P23" s="7">
        <f>ABS(IF(P22=0,0,(SUMIFS(WedFoodTipout,'Final Look'!WedAMPM,P21,'Final Look'!WedJobCode,"Server")+(SUMIFS(WedFoodTipout,'Final Look'!WedAMPM,P21,'Final Look'!WedJobCode,"Bartender")))))</f>
        <v>0</v>
      </c>
      <c r="Q23" s="7">
        <f ca="1">ABS(IF(Q22=0,0,(SUMIFS(WedFoodTipout,'Final Look'!WedAMPM,Q21,'Final Look'!WedJobCode,"Server")+(SUMIFS(WedFoodTipout,'Final Look'!WedAMPM,Q21,'Final Look'!WedJobCode,"Bartender")))))</f>
        <v>54.94</v>
      </c>
      <c r="R23" s="7">
        <f ca="1">ABS(SUMIFS(WedHostTipout,'Final Look'!WedAMPM,R21,'Final Look'!WedJobCode,"&lt;&gt;Host"))</f>
        <v>36.07</v>
      </c>
      <c r="S23" s="7">
        <f ca="1">ABS(SUMIFS(WedHostTipout,'Final Look'!WedAMPM,S21,'Final Look'!WedJobCode,"&lt;&gt;Host"))</f>
        <v>61.490000000000009</v>
      </c>
      <c r="T23" s="7" t="s">
        <v>36</v>
      </c>
      <c r="AA23" s="7">
        <f>SUMIFS(FriAlcTipout,'Final Look'!FriAMPM,AA21,'Final Look'!FriJobCode,"&lt;&gt;Bartender")*-1</f>
        <v>41.01</v>
      </c>
      <c r="AB23" s="66">
        <f>SUMIFS(FriAlcTipout,'Final Look'!FriAMPM,AB21,'Final Look'!FriJobCode,"&lt;&gt;Bartender")*-1</f>
        <v>42</v>
      </c>
      <c r="AC23" s="7">
        <f>ABS(IF(AC22=0,0,(SUMIFS(FriFoodTipout,'Final Look'!FriAMPM,AC21,'Final Look'!FriJobCode,"Server")+(SUMIFS(FriFoodTipout,'Final Look'!FriAMPM,AC21,'Final Look'!FriJobCode,"Bartender")))))</f>
        <v>0</v>
      </c>
      <c r="AD23" s="7">
        <f ca="1">ABS(IF(AD22=0,0,(SUMIFS(FriFoodTipout,'Final Look'!FriAMPM,AD21,'Final Look'!FriJobCode,"Server")+(SUMIFS(FriFoodTipout,'Final Look'!FriAMPM,AD21,'Final Look'!FriJobCode,"Bartender")))))</f>
        <v>56.5</v>
      </c>
      <c r="AE23" s="7">
        <f ca="1">ABS(SUMIFS(FriHostTipout,'Final Look'!FriAMPM,AE21,'Final Look'!FriJobCode,"&lt;&gt;Host"))</f>
        <v>0</v>
      </c>
      <c r="AF23" s="7">
        <f ca="1">ABS(SUMIFS(FriHostTipout,'Final Look'!FriAMPM,AF21,'Final Look'!FriJobCode,"&lt;&gt;Host"))</f>
        <v>48.05</v>
      </c>
      <c r="AG23" s="7" t="s">
        <v>36</v>
      </c>
      <c r="AN23" s="7">
        <f>SUMIFS(SunAlcTipout,'Final Look'!SunAMPM,AN21,'Final Look'!SunJobCode,"&lt;&gt;Bartender")*-1</f>
        <v>3</v>
      </c>
      <c r="AO23" s="66">
        <f>SUMIFS(SunAlcTipout,'Final Look'!SunAMPM,AO21,'Final Look'!SunJobCode,"&lt;&gt;Bartender")*-1</f>
        <v>24</v>
      </c>
      <c r="AP23" s="7">
        <f ca="1">ABS(IF(AP22=0,0,(SUMIFS(SunFoodTipout,'Final Look'!SunAMPM,AP21,'Final Look'!SunJobCode,"Server")+(SUMIFS(SunFoodTipout,'Final Look'!SunAMPM,AP21,'Final Look'!SunJobCode,"Bartender")))))</f>
        <v>32</v>
      </c>
      <c r="AQ23" s="7">
        <f ca="1">ABS(IF(AQ22=0,0,(SUMIFS(SunFoodTipout,'Final Look'!SunAMPM,AQ21,'Final Look'!SunJobCode,"Server")+(SUMIFS(SunFoodTipout,'Final Look'!SunAMPM,AQ21,'Final Look'!SunJobCode,"Bartender")))))</f>
        <v>42.84</v>
      </c>
      <c r="AR23" s="7">
        <f ca="1">ABS(SUMIFS(SunHostTipout,'Final Look'!SunAMPM,AR21,'Final Look'!SunJobCode,"&lt;&gt;Host"))</f>
        <v>0</v>
      </c>
      <c r="AS23" s="7">
        <f ca="1">ABS(SUMIFS(SunHostTipout,'Final Look'!SunAMPM,AS21,'Final Look'!SunJobCode,"&lt;&gt;Host"))</f>
        <v>0</v>
      </c>
      <c r="AT23" s="7" t="s">
        <v>36</v>
      </c>
    </row>
    <row r="24" spans="1:52" hidden="1" x14ac:dyDescent="0.2">
      <c r="A24" s="66">
        <f>SUMIFS('Final Look'!MonTips,'Final Look'!MonAMPM,A21,'Final Look'!MonJobCode,A20)</f>
        <v>241</v>
      </c>
      <c r="B24" s="66">
        <f>SUMIFS('Final Look'!MonTips,'Final Look'!MonAMPM,B21,'Final Look'!MonJobCode,B20)</f>
        <v>250</v>
      </c>
      <c r="C24" s="7">
        <f>SUMIFS(MonFoodTipout,'Final Look'!MonAMPM,C21,'Final Look'!MonJobCode,"Bartender")</f>
        <v>0</v>
      </c>
      <c r="D24" s="7">
        <f>SUMIFS(MonFoodTipout,'Final Look'!MonAMPM,D21,'Final Look'!MonJobCode,"Bartender")</f>
        <v>0</v>
      </c>
      <c r="E24" s="7">
        <f ca="1">SUMIFS(MonHostTipout,'Final Look'!MonJobCode,"Bartender",'Final Look'!MonAMPM,E21)</f>
        <v>0</v>
      </c>
      <c r="F24" s="7">
        <f ca="1">SUMIFS(MonHostTipout,'Final Look'!MonJobCode,"Bartender",'Final Look'!MonAMPM,F21)</f>
        <v>0</v>
      </c>
      <c r="G24" s="7" t="s">
        <v>37</v>
      </c>
      <c r="N24" s="66">
        <f>SUMIFS('Final Look'!WedTips,'Final Look'!WedAMPM,N21,'Final Look'!WedJobCode,N20)</f>
        <v>187</v>
      </c>
      <c r="O24" s="66">
        <f>SUMIFS('Final Look'!WedTips,'Final Look'!WedAMPM,O21,'Final Look'!WedJobCode,O20)</f>
        <v>542</v>
      </c>
      <c r="P24" s="7">
        <f>SUMIFS(WedFoodTipout,'Final Look'!WedAMPM,P21,'Final Look'!WedJobCode,"Bartender")</f>
        <v>0</v>
      </c>
      <c r="Q24" s="7">
        <f ca="1">SUMIFS(WedFoodTipout,'Final Look'!WedAMPM,Q21,'Final Look'!WedJobCode,"Bartender")</f>
        <v>-20</v>
      </c>
      <c r="R24" s="7">
        <f ca="1">SUMIFS(WedHostTipout,'Final Look'!WedJobCode,"Bartender",'Final Look'!WedAMPM,R21)</f>
        <v>-14.4</v>
      </c>
      <c r="S24" s="7">
        <f ca="1">SUMIFS(WedHostTipout,'Final Look'!WedJobCode,"Bartender",'Final Look'!WedAMPM,S21)</f>
        <v>-25.28</v>
      </c>
      <c r="T24" s="7" t="s">
        <v>37</v>
      </c>
      <c r="AA24" s="66">
        <f>SUMIFS('Final Look'!FriTips,'Final Look'!FriAMPM,AA21,'Final Look'!FriJobCode,AA20)</f>
        <v>414</v>
      </c>
      <c r="AB24" s="66">
        <f>SUMIFS('Final Look'!FriTips,'Final Look'!FriAMPM,AB21,'Final Look'!FriJobCode,AB20)</f>
        <v>361</v>
      </c>
      <c r="AC24" s="7">
        <f>SUMIFS(FriFoodTipout,'Final Look'!FriAMPM,AC21,'Final Look'!FriJobCode,"Bartender")</f>
        <v>0</v>
      </c>
      <c r="AD24" s="7">
        <f ca="1">SUMIFS(FriFoodTipout,'Final Look'!FriAMPM,AD21,'Final Look'!FriJobCode,"Bartender")</f>
        <v>-7.18</v>
      </c>
      <c r="AE24" s="7">
        <f ca="1">SUMIFS(FriHostTipout,'Final Look'!FriJobCode,"Bartender",'Final Look'!FriAMPM,AE21)</f>
        <v>0</v>
      </c>
      <c r="AF24" s="7">
        <f ca="1">SUMIFS(FriHostTipout,'Final Look'!FriJobCode,"Bartender",'Final Look'!FriAMPM,AF21)</f>
        <v>-9.39</v>
      </c>
      <c r="AG24" s="7" t="s">
        <v>37</v>
      </c>
      <c r="AN24" s="66">
        <f>SUMIFS('Final Look'!SunTips,'Final Look'!SunAMPM,AN21,'Final Look'!SunJobCode,AN20)</f>
        <v>241</v>
      </c>
      <c r="AO24" s="66">
        <f>SUMIFS('Final Look'!SunTips,'Final Look'!SunAMPM,AO21,'Final Look'!SunJobCode,AO20)</f>
        <v>250</v>
      </c>
      <c r="AP24" s="7">
        <f ca="1">SUMIFS(SunFoodTipout,'Final Look'!SunAMPM,AP21,'Final Look'!SunJobCode,"Bartender")</f>
        <v>-18</v>
      </c>
      <c r="AQ24" s="7">
        <f ca="1">SUMIFS(SunFoodTipout,'Final Look'!SunAMPM,AQ21,'Final Look'!SunJobCode,"Bartender")</f>
        <v>-17.940000000000001</v>
      </c>
      <c r="AR24" s="7">
        <f ca="1">SUMIFS(SunHostTipout,'Final Look'!SunJobCode,"Bartender",'Final Look'!SunAMPM,AR21)</f>
        <v>0</v>
      </c>
      <c r="AS24" s="7">
        <f ca="1">SUMIFS(SunHostTipout,'Final Look'!SunJobCode,"Bartender",'Final Look'!SunAMPM,AS21)</f>
        <v>0</v>
      </c>
      <c r="AT24" s="7" t="s">
        <v>37</v>
      </c>
    </row>
    <row r="25" spans="1:52" hidden="1" x14ac:dyDescent="0.2">
      <c r="A25" s="7">
        <f>A23/A22</f>
        <v>0.375</v>
      </c>
      <c r="B25" s="13">
        <f>B23/B22</f>
        <v>3</v>
      </c>
      <c r="C25" s="7">
        <f>IFERROR(C23/C22,0)</f>
        <v>0</v>
      </c>
      <c r="D25" s="7">
        <f>IFERROR(D23/D22,0)</f>
        <v>0</v>
      </c>
      <c r="E25" s="7">
        <f ca="1">IFERROR(E23/E22,0)</f>
        <v>0</v>
      </c>
      <c r="F25" s="7">
        <f ca="1">IFERROR(F23/F22,0)</f>
        <v>0</v>
      </c>
      <c r="G25" s="7" t="s">
        <v>38</v>
      </c>
      <c r="N25" s="7">
        <f>N23/N22</f>
        <v>2.5425</v>
      </c>
      <c r="O25" s="13">
        <f>O23/O22</f>
        <v>4.3246153846153845</v>
      </c>
      <c r="P25" s="7">
        <f>IFERROR(P23/P22,0)</f>
        <v>0</v>
      </c>
      <c r="Q25" s="7">
        <f ca="1">IFERROR(Q23/Q22,0)</f>
        <v>13.734999999999999</v>
      </c>
      <c r="R25" s="7">
        <f ca="1">IFERROR(R23/R22,0)</f>
        <v>6.0116666666666667</v>
      </c>
      <c r="S25" s="7">
        <f ca="1">IFERROR(S23/S22,0)</f>
        <v>10.248333333333335</v>
      </c>
      <c r="T25" s="7" t="s">
        <v>38</v>
      </c>
      <c r="AA25" s="7">
        <f>AA23/AA22</f>
        <v>2.5631249999999999</v>
      </c>
      <c r="AB25" s="13">
        <f>AB23/AB22</f>
        <v>3</v>
      </c>
      <c r="AC25" s="7">
        <f>IFERROR(AC23/AC22,0)</f>
        <v>0</v>
      </c>
      <c r="AD25" s="7">
        <f ca="1">IFERROR(AD23/AD22,0)</f>
        <v>9.4166666666666661</v>
      </c>
      <c r="AE25" s="7">
        <f ca="1">IFERROR(AE23/AE22,0)</f>
        <v>0</v>
      </c>
      <c r="AF25" s="7">
        <f ca="1">IFERROR(AF23/AF22,0)</f>
        <v>8.0083333333333329</v>
      </c>
      <c r="AG25" s="7" t="s">
        <v>38</v>
      </c>
      <c r="AN25" s="7">
        <f>AN23/AN22</f>
        <v>0.375</v>
      </c>
      <c r="AO25" s="13">
        <f>AO23/AO22</f>
        <v>3</v>
      </c>
      <c r="AP25" s="7">
        <f ca="1">IFERROR(AP23/AP22,0)</f>
        <v>5.333333333333333</v>
      </c>
      <c r="AQ25" s="7">
        <f ca="1">IFERROR(AQ23/AQ22,0)</f>
        <v>6.12</v>
      </c>
      <c r="AR25" s="7">
        <f ca="1">IFERROR(AR23/AR22,0)</f>
        <v>0</v>
      </c>
      <c r="AS25" s="7">
        <f ca="1">IFERROR(AS23/AS22,0)</f>
        <v>0</v>
      </c>
      <c r="AT25" s="7" t="s">
        <v>38</v>
      </c>
    </row>
    <row r="26" spans="1:52" hidden="1" x14ac:dyDescent="0.2">
      <c r="A26" s="7">
        <f>A24/A22</f>
        <v>30.125</v>
      </c>
      <c r="B26" s="13">
        <f>B24/B22</f>
        <v>31.25</v>
      </c>
      <c r="C26" s="7">
        <f>C24/A22</f>
        <v>0</v>
      </c>
      <c r="D26" s="7">
        <f>D24/B22</f>
        <v>0</v>
      </c>
      <c r="E26" s="7">
        <f ca="1">E24/A22</f>
        <v>0</v>
      </c>
      <c r="F26" s="7">
        <f ca="1">F24/B22</f>
        <v>0</v>
      </c>
      <c r="G26" s="7" t="s">
        <v>39</v>
      </c>
      <c r="N26" s="7">
        <f>N24/N22</f>
        <v>23.375</v>
      </c>
      <c r="O26" s="13">
        <f>O24/O22</f>
        <v>41.692307692307693</v>
      </c>
      <c r="P26" s="7">
        <f>P24/N22</f>
        <v>0</v>
      </c>
      <c r="Q26" s="7">
        <f ca="1">Q24/O22</f>
        <v>-1.5384615384615385</v>
      </c>
      <c r="R26" s="7">
        <f ca="1">R24/N22</f>
        <v>-1.8</v>
      </c>
      <c r="S26" s="7">
        <f ca="1">S24/O22</f>
        <v>-1.9446153846153846</v>
      </c>
      <c r="T26" s="7" t="s">
        <v>39</v>
      </c>
      <c r="AA26" s="7">
        <f>AA24/AA22</f>
        <v>25.875</v>
      </c>
      <c r="AB26" s="13">
        <f>AB24/AB22</f>
        <v>25.785714285714285</v>
      </c>
      <c r="AC26" s="7">
        <f>AC24/AA22</f>
        <v>0</v>
      </c>
      <c r="AD26" s="7">
        <f ca="1">AD24/AB22</f>
        <v>-0.51285714285714279</v>
      </c>
      <c r="AE26" s="7">
        <f ca="1">AE24/AA22</f>
        <v>0</v>
      </c>
      <c r="AF26" s="7">
        <f ca="1">AF24/AB22</f>
        <v>-0.67071428571428571</v>
      </c>
      <c r="AG26" s="7" t="s">
        <v>39</v>
      </c>
      <c r="AN26" s="7">
        <f>AN24/AN22</f>
        <v>30.125</v>
      </c>
      <c r="AO26" s="13">
        <f>AO24/AO22</f>
        <v>31.25</v>
      </c>
      <c r="AP26" s="7">
        <f ca="1">AP24/AN22</f>
        <v>-2.25</v>
      </c>
      <c r="AQ26" s="7">
        <f ca="1">AQ24/AO22</f>
        <v>-2.2425000000000002</v>
      </c>
      <c r="AR26" s="7">
        <f ca="1">AR24/AN22</f>
        <v>0</v>
      </c>
      <c r="AS26" s="7">
        <f ca="1">AS24/AO22</f>
        <v>0</v>
      </c>
      <c r="AT26" s="7" t="s">
        <v>39</v>
      </c>
    </row>
    <row r="27" spans="1:52" ht="21" x14ac:dyDescent="0.25">
      <c r="A27" s="69">
        <f>A1+1</f>
        <v>45349</v>
      </c>
      <c r="B27" s="81" t="str">
        <f>TEXT(A27,"DDDD")</f>
        <v>Tuesday</v>
      </c>
      <c r="C27" s="82"/>
      <c r="D27" s="82"/>
      <c r="E27" s="82"/>
      <c r="F27" s="82"/>
      <c r="G27" s="82"/>
      <c r="H27" s="82"/>
      <c r="I27" s="82"/>
      <c r="J27" s="83"/>
      <c r="K27" s="6">
        <v>0.03</v>
      </c>
      <c r="L27" s="6">
        <v>0.02</v>
      </c>
      <c r="M27" s="6">
        <v>0.01</v>
      </c>
      <c r="N27" s="70">
        <f>A1+3</f>
        <v>45351</v>
      </c>
      <c r="O27" s="84" t="str">
        <f>TEXT(N27,"DDDD")</f>
        <v>Thursday</v>
      </c>
      <c r="P27" s="85"/>
      <c r="Q27" s="85"/>
      <c r="R27" s="85"/>
      <c r="S27" s="85"/>
      <c r="T27" s="85"/>
      <c r="U27" s="85"/>
      <c r="V27" s="85"/>
      <c r="W27" s="86"/>
      <c r="X27" s="6">
        <v>0.03</v>
      </c>
      <c r="Y27" s="6">
        <v>0.02</v>
      </c>
      <c r="Z27" s="6">
        <v>0.01</v>
      </c>
      <c r="AA27" s="71">
        <f>A1+5</f>
        <v>45353</v>
      </c>
      <c r="AB27" s="75" t="str">
        <f>TEXT(AA27,"DDDD")</f>
        <v>Saturday</v>
      </c>
      <c r="AC27" s="76"/>
      <c r="AD27" s="76"/>
      <c r="AE27" s="76"/>
      <c r="AF27" s="76"/>
      <c r="AG27" s="76"/>
      <c r="AH27" s="76"/>
      <c r="AI27" s="76"/>
      <c r="AJ27" s="77"/>
      <c r="AK27" s="6">
        <v>0.03</v>
      </c>
      <c r="AL27" s="6">
        <v>0.02</v>
      </c>
      <c r="AM27" s="6">
        <v>0.01</v>
      </c>
      <c r="AN27" s="87" t="s">
        <v>40</v>
      </c>
      <c r="AO27" s="87"/>
      <c r="AP27" s="87"/>
      <c r="AQ27" s="87"/>
      <c r="AR27" s="87"/>
      <c r="AS27" s="87"/>
      <c r="AT27" s="87"/>
      <c r="AU27" s="87"/>
    </row>
    <row r="28" spans="1:52" ht="19" x14ac:dyDescent="0.25">
      <c r="A28" s="33" t="s">
        <v>0</v>
      </c>
      <c r="B28" s="34" t="s">
        <v>1</v>
      </c>
      <c r="C28" s="33" t="s">
        <v>2</v>
      </c>
      <c r="D28" s="33" t="s">
        <v>3</v>
      </c>
      <c r="E28" s="33" t="s">
        <v>4</v>
      </c>
      <c r="F28" s="33" t="s">
        <v>5</v>
      </c>
      <c r="G28" s="35" t="s">
        <v>6</v>
      </c>
      <c r="H28" s="33" t="s">
        <v>7</v>
      </c>
      <c r="I28" s="33" t="s">
        <v>8</v>
      </c>
      <c r="J28" s="33" t="s">
        <v>9</v>
      </c>
      <c r="K28" s="7" t="s">
        <v>10</v>
      </c>
      <c r="L28" s="7" t="s">
        <v>11</v>
      </c>
      <c r="M28" s="7" t="s">
        <v>12</v>
      </c>
      <c r="N28" s="39" t="s">
        <v>0</v>
      </c>
      <c r="O28" s="40" t="s">
        <v>1</v>
      </c>
      <c r="P28" s="39" t="s">
        <v>2</v>
      </c>
      <c r="Q28" s="39" t="s">
        <v>3</v>
      </c>
      <c r="R28" s="39" t="s">
        <v>4</v>
      </c>
      <c r="S28" s="39" t="s">
        <v>5</v>
      </c>
      <c r="T28" s="41" t="s">
        <v>6</v>
      </c>
      <c r="U28" s="39" t="s">
        <v>7</v>
      </c>
      <c r="V28" s="39" t="s">
        <v>8</v>
      </c>
      <c r="W28" s="39" t="s">
        <v>9</v>
      </c>
      <c r="X28" s="7" t="s">
        <v>10</v>
      </c>
      <c r="Y28" s="7" t="s">
        <v>11</v>
      </c>
      <c r="Z28" s="7" t="s">
        <v>12</v>
      </c>
      <c r="AA28" s="26" t="s">
        <v>0</v>
      </c>
      <c r="AB28" s="27" t="s">
        <v>1</v>
      </c>
      <c r="AC28" s="26" t="s">
        <v>2</v>
      </c>
      <c r="AD28" s="26" t="s">
        <v>3</v>
      </c>
      <c r="AE28" s="26" t="s">
        <v>4</v>
      </c>
      <c r="AF28" s="26" t="s">
        <v>5</v>
      </c>
      <c r="AG28" s="28" t="s">
        <v>6</v>
      </c>
      <c r="AH28" s="26" t="s">
        <v>7</v>
      </c>
      <c r="AI28" s="26" t="s">
        <v>8</v>
      </c>
      <c r="AJ28" s="26" t="s">
        <v>9</v>
      </c>
      <c r="AK28" s="7" t="s">
        <v>10</v>
      </c>
      <c r="AL28" s="7" t="s">
        <v>11</v>
      </c>
      <c r="AM28" s="7" t="s">
        <v>12</v>
      </c>
      <c r="AN28" s="14" t="s">
        <v>0</v>
      </c>
      <c r="AO28" s="15" t="s">
        <v>1</v>
      </c>
      <c r="AP28" s="14" t="s">
        <v>41</v>
      </c>
      <c r="AQ28" s="14" t="s">
        <v>42</v>
      </c>
      <c r="AR28" s="14" t="s">
        <v>3</v>
      </c>
      <c r="AS28" s="14" t="s">
        <v>4</v>
      </c>
      <c r="AT28" s="14" t="s">
        <v>5</v>
      </c>
      <c r="AU28" s="14" t="s">
        <v>43</v>
      </c>
    </row>
    <row r="29" spans="1:52" ht="16" x14ac:dyDescent="0.2">
      <c r="A29" s="11" t="s">
        <v>59</v>
      </c>
      <c r="B29" s="12">
        <v>8</v>
      </c>
      <c r="C29" s="11">
        <v>165</v>
      </c>
      <c r="D29" s="11">
        <v>835</v>
      </c>
      <c r="E29" s="11">
        <v>400</v>
      </c>
      <c r="F29" s="2">
        <f>D29+E29</f>
        <v>1235</v>
      </c>
      <c r="G29" s="11" t="s">
        <v>14</v>
      </c>
      <c r="H29" s="11" t="s">
        <v>15</v>
      </c>
      <c r="I29" s="2">
        <f t="shared" ref="I29" ca="1" si="208">IF(H29="Bartender",(HLOOKUP(G29,TuesFoodTable,6)*B29)+(HLOOKUP(G29,TuesHostTable,6)*B29)+K29,SUM(K29,L29,M29))</f>
        <v>-3.3499999999999996</v>
      </c>
      <c r="J29" s="2">
        <f t="shared" ref="J29" ca="1" si="209">IFERROR(IF(H29="Bartender",(HLOOKUP(G29,TuesBarTable,6)*B29)+I29,C29+I29),"")</f>
        <v>161.65</v>
      </c>
      <c r="K29" s="7">
        <f t="shared" ref="K29" si="210">IF(H29="Server",-E29*AlcoholTipPercentage,0)+IF(H29="Bartender",HLOOKUP(G29,TuesBarTable,5)*B29)</f>
        <v>9</v>
      </c>
      <c r="L29" s="7" cm="1">
        <f t="array" ref="L29">IFERROR(_xlfn.IFS(HLOOKUP(G29,TuesFoodTable,2)=0,0,OR(H29="Server",H29="Bartender"),-D29*FoodTipPercentage,OR(H29="Expo",H29="Food Runner"),HLOOKUP(G29,TuesFoodTable,5)*B29,H29="Host",0),"")</f>
        <v>0</v>
      </c>
      <c r="M29" s="7" cm="1">
        <f t="array" aca="1" ref="M29" ca="1">IFERROR(_xlfn.IFS(HLOOKUP(G29,TuesHostTable,2)=0,0,OR(H29="Server",H29="Bartender"),-F29*HostTipPercentage,H29="Host",HLOOKUP(G29,TuesHostTable,5)*B29,OR(H29="Expo",H29="Food Runner"),0),"")</f>
        <v>-12.35</v>
      </c>
      <c r="N29" s="16" t="s">
        <v>59</v>
      </c>
      <c r="O29" s="17">
        <v>8</v>
      </c>
      <c r="P29" s="16">
        <v>250</v>
      </c>
      <c r="Q29" s="16">
        <v>897</v>
      </c>
      <c r="R29" s="16">
        <v>567</v>
      </c>
      <c r="S29" s="42">
        <f>Q29+R29</f>
        <v>1464</v>
      </c>
      <c r="T29" s="16" t="s">
        <v>14</v>
      </c>
      <c r="U29" s="16" t="s">
        <v>15</v>
      </c>
      <c r="V29" s="42">
        <f t="shared" ref="V29" ca="1" si="211">IF(U29="Bartender",(HLOOKUP(T29,ThursFoodTable,6)*O29)+(HLOOKUP(T29,ThursHostTable,6)*O29)+X29,SUM(X29,Y29,Z29))</f>
        <v>-2.6400000000000006</v>
      </c>
      <c r="W29" s="42">
        <f t="shared" ref="W29" ca="1" si="212">IFERROR(IF(U29="Bartender",(HLOOKUP(T29,ThursBarTable,6)*O29)+V29,P29+V29),"")</f>
        <v>247.36</v>
      </c>
      <c r="X29" s="7">
        <f t="shared" ref="X29" si="213">IF(U29="Server",-R29*AlcoholTipPercentage,0)+IF(U29="Bartender",HLOOKUP(T29,ThursBarTable,5)*O29)</f>
        <v>12</v>
      </c>
      <c r="Y29" s="7" cm="1">
        <f t="array" ref="Y29">IFERROR(_xlfn.IFS(HLOOKUP(T29,ThursFoodTable,2)=0,0,OR(U29="Server",U29="Bartender"),-Q29*FoodTipPercentage,OR(U29="Expo",U29="Food Runner"),HLOOKUP(T29,ThursFoodTable,5)*O29,U29="Host",0),"")</f>
        <v>0</v>
      </c>
      <c r="Z29" s="7" cm="1">
        <f t="array" aca="1" ref="Z29" ca="1">IFERROR(_xlfn.IFS(HLOOKUP(T29,ThursHostTable,2)=0,0,OR(U29="Server",U29="Bartender"),-S29*HostTipPercentage,U29="Host",HLOOKUP(T29,ThursHostTable,5)*O29,OR(U29="Expo",U29="Food Runner"),0),"")</f>
        <v>-14.64</v>
      </c>
      <c r="AA29" s="9" t="s">
        <v>55</v>
      </c>
      <c r="AB29" s="10">
        <v>7</v>
      </c>
      <c r="AC29" s="9">
        <v>204.24</v>
      </c>
      <c r="AD29" s="9">
        <v>535.14</v>
      </c>
      <c r="AE29" s="9">
        <v>352.52</v>
      </c>
      <c r="AF29" s="38">
        <f>AD29+AE29</f>
        <v>887.66</v>
      </c>
      <c r="AG29" s="9"/>
      <c r="AH29" s="9"/>
      <c r="AI29" s="38">
        <f t="shared" ref="AI29" si="214">IF(AH29="Bartender",(HLOOKUP(AG29,SatFoodTable,6)*AB29)+(HLOOKUP(AG29,SatHostTable,6)*AB29)+AK29,SUM(AK29,AL29,AM29))</f>
        <v>0</v>
      </c>
      <c r="AJ29" s="38">
        <f t="shared" ref="AJ29" si="215">IFERROR(IF(AH29="Bartender",(HLOOKUP(AG29,SatBarTable,6)*AB29)+AI29,AC29+AI29),"")</f>
        <v>204.24</v>
      </c>
      <c r="AK29" s="7">
        <f t="shared" ref="AK29" si="216">IF(AH29="Server",-AE29*AlcoholTipPercentage,0)+IF(AH29="Bartender",HLOOKUP(AG29,SatBarTable,5)*AB29)</f>
        <v>0</v>
      </c>
      <c r="AL29" s="7" t="str" cm="1">
        <f t="array" ref="AL29">IFERROR(_xlfn.IFS(HLOOKUP(AG29,SatFoodTable,2)=0,0,OR(AH29="Server",AH29="Bartender"),-AD29*FoodTipPercentage,OR(AH29="Expo",AH29="Food Runner"),HLOOKUP(AG29,SatFoodTable,5)*AB29,AH29="Host",0),"")</f>
        <v/>
      </c>
      <c r="AM29" s="7" t="str" cm="1">
        <f t="array" ref="AM29">IFERROR(_xlfn.IFS(HLOOKUP(AG29,SatHostTable,2)=0,0,OR(AH29="Server",AH29="Bartender"),-AF29*HostTipPercentage,AH29="Host",HLOOKUP(AG29,SatHostTable,5)*AB29,OR(AH29="Expo",AH29="Food Runner"),0),"")</f>
        <v/>
      </c>
      <c r="AN29" s="18" t="s">
        <v>59</v>
      </c>
      <c r="AO29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59</v>
      </c>
      <c r="AP29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1690.44</v>
      </c>
      <c r="AQ29" s="7">
        <f ca="1">IFERROR(Table4247891011121314182123252723[[#This Row],[Weekly Tips]]/Table4247891011121314182123252723[[#This Row],[Hours]],0)</f>
        <v>28.651525423728813</v>
      </c>
      <c r="AR29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6185</v>
      </c>
      <c r="AS29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4512</v>
      </c>
      <c r="AT29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10697</v>
      </c>
      <c r="AU29" s="7" t="s">
        <v>26</v>
      </c>
    </row>
    <row r="30" spans="1:52" ht="16" x14ac:dyDescent="0.2">
      <c r="A30" s="11" t="s">
        <v>58</v>
      </c>
      <c r="B30" s="12">
        <v>7</v>
      </c>
      <c r="C30" s="11">
        <v>130</v>
      </c>
      <c r="D30" s="11">
        <v>758</v>
      </c>
      <c r="E30" s="11">
        <v>300</v>
      </c>
      <c r="F30" s="2">
        <f t="shared" ref="F30:F45" si="217">E30+D30</f>
        <v>1058</v>
      </c>
      <c r="G30" s="11" t="s">
        <v>14</v>
      </c>
      <c r="H30" s="11" t="s">
        <v>18</v>
      </c>
      <c r="I30" s="2">
        <f t="shared" ref="I30" ca="1" si="218">IF(H30="Bartender",(HLOOKUP(G30,TuesFoodTable,6)*B30)+(HLOOKUP(G30,TuesHostTable,6)*B30)+K30,SUM(K30,L30,M30))</f>
        <v>-19.579999999999998</v>
      </c>
      <c r="J30" s="2">
        <f t="shared" ref="J30" ca="1" si="219">IFERROR(IF(H30="Bartender",(HLOOKUP(G30,TuesBarTable,6)*B30)+I30,C30+I30),"")</f>
        <v>110.42</v>
      </c>
      <c r="K30" s="7">
        <f t="shared" ref="K30" si="220">IF(H30="Server",-E30*AlcoholTipPercentage,0)+IF(H30="Bartender",HLOOKUP(G30,TuesBarTable,5)*B30)</f>
        <v>-9</v>
      </c>
      <c r="L30" s="7" cm="1">
        <f t="array" ref="L30">IFERROR(_xlfn.IFS(HLOOKUP(G30,TuesFoodTable,2)=0,0,OR(H30="Server",H30="Bartender"),-D30*FoodTipPercentage,OR(H30="Expo",H30="Food Runner"),HLOOKUP(G30,TuesFoodTable,5)*B30,H30="Host",0),"")</f>
        <v>0</v>
      </c>
      <c r="M30" s="7" cm="1">
        <f t="array" aca="1" ref="M30" ca="1">IFERROR(_xlfn.IFS(HLOOKUP(G30,TuesHostTable,2)=0,0,OR(H30="Server",H30="Bartender"),-F30*HostTipPercentage,H30="Host",HLOOKUP(G30,TuesHostTable,5)*B30,OR(H30="Expo",H30="Food Runner"),0),"")</f>
        <v>-10.58</v>
      </c>
      <c r="N30" s="16" t="s">
        <v>61</v>
      </c>
      <c r="O30" s="17">
        <v>8</v>
      </c>
      <c r="P30" s="16">
        <v>188</v>
      </c>
      <c r="Q30" s="16">
        <v>846</v>
      </c>
      <c r="R30" s="16">
        <v>400</v>
      </c>
      <c r="S30" s="42">
        <f t="shared" ref="S30:S45" si="221">R30+Q30</f>
        <v>1246</v>
      </c>
      <c r="T30" s="16" t="s">
        <v>14</v>
      </c>
      <c r="U30" s="16" t="s">
        <v>18</v>
      </c>
      <c r="V30" s="42">
        <f t="shared" ref="V30" ca="1" si="222">IF(U30="Bartender",(HLOOKUP(T30,ThursFoodTable,6)*O30)+(HLOOKUP(T30,ThursHostTable,6)*O30)+X30,SUM(X30,Y30,Z30))</f>
        <v>-24.46</v>
      </c>
      <c r="W30" s="42">
        <f t="shared" ref="W30" ca="1" si="223">IFERROR(IF(U30="Bartender",(HLOOKUP(T30,ThursBarTable,6)*O30)+V30,P30+V30),"")</f>
        <v>163.54</v>
      </c>
      <c r="X30" s="7">
        <f t="shared" ref="X30" si="224">IF(U30="Server",-R30*AlcoholTipPercentage,0)+IF(U30="Bartender",HLOOKUP(T30,ThursBarTable,5)*O30)</f>
        <v>-12</v>
      </c>
      <c r="Y30" s="7" cm="1">
        <f t="array" ref="Y30">IFERROR(_xlfn.IFS(HLOOKUP(T30,ThursFoodTable,2)=0,0,OR(U30="Server",U30="Bartender"),-Q30*FoodTipPercentage,OR(U30="Expo",U30="Food Runner"),HLOOKUP(T30,ThursFoodTable,5)*O30,U30="Host",0),"")</f>
        <v>0</v>
      </c>
      <c r="Z30" s="7" cm="1">
        <f t="array" aca="1" ref="Z30" ca="1">IFERROR(_xlfn.IFS(HLOOKUP(T30,ThursHostTable,2)=0,0,OR(U30="Server",U30="Bartender"),-S30*HostTipPercentage,U30="Host",HLOOKUP(T30,ThursHostTable,5)*O30,OR(U30="Expo",U30="Food Runner"),0),"")</f>
        <v>-12.46</v>
      </c>
      <c r="AA30" s="9" t="s">
        <v>57</v>
      </c>
      <c r="AB30" s="10">
        <v>5</v>
      </c>
      <c r="AC30" s="9">
        <v>155.63</v>
      </c>
      <c r="AD30" s="9">
        <v>1151.51</v>
      </c>
      <c r="AE30" s="9">
        <v>514.14</v>
      </c>
      <c r="AF30" s="38">
        <f t="shared" ref="AF30:AF45" si="225">AE30+AD30</f>
        <v>1665.65</v>
      </c>
      <c r="AG30" s="9"/>
      <c r="AH30" s="9"/>
      <c r="AI30" s="38">
        <f t="shared" ref="AI30" si="226">IF(AH30="Bartender",(HLOOKUP(AG30,SatFoodTable,6)*AB30)+(HLOOKUP(AG30,SatHostTable,6)*AB30)+AK30,SUM(AK30,AL30,AM30))</f>
        <v>0</v>
      </c>
      <c r="AJ30" s="38">
        <f t="shared" ref="AJ30" si="227">IFERROR(IF(AH30="Bartender",(HLOOKUP(AG30,SatBarTable,6)*AB30)+AI30,AC30+AI30),"")</f>
        <v>155.63</v>
      </c>
      <c r="AK30" s="7">
        <f t="shared" ref="AK30" si="228">IF(AH30="Server",-AE30*AlcoholTipPercentage,0)+IF(AH30="Bartender",HLOOKUP(AG30,SatBarTable,5)*AB30)</f>
        <v>0</v>
      </c>
      <c r="AL30" s="7" t="str" cm="1">
        <f t="array" ref="AL30">IFERROR(_xlfn.IFS(HLOOKUP(AG30,SatFoodTable,2)=0,0,OR(AH30="Server",AH30="Bartender"),-AD30*FoodTipPercentage,OR(AH30="Expo",AH30="Food Runner"),HLOOKUP(AG30,SatFoodTable,5)*AB30,AH30="Host",0),"")</f>
        <v/>
      </c>
      <c r="AM30" s="7" t="str" cm="1">
        <f t="array" ref="AM30">IFERROR(_xlfn.IFS(HLOOKUP(AG30,SatHostTable,2)=0,0,OR(AH30="Server",AH30="Bartender"),-AF30*HostTipPercentage,AH30="Host",HLOOKUP(AG30,SatHostTable,5)*AB30,OR(AH30="Expo",AH30="Food Runner"),0),"")</f>
        <v/>
      </c>
      <c r="AN30" s="18" t="s">
        <v>61</v>
      </c>
      <c r="AO30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57</v>
      </c>
      <c r="AP30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1514.6</v>
      </c>
      <c r="AQ30" s="7">
        <f ca="1">IFERROR(Table4247891011121314182123252723[[#This Row],[Weekly Tips]]/Table4247891011121314182123252723[[#This Row],[Hours]],0)</f>
        <v>26.571929824561401</v>
      </c>
      <c r="AR30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6130</v>
      </c>
      <c r="AS30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3677</v>
      </c>
      <c r="AT30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9807</v>
      </c>
    </row>
    <row r="31" spans="1:52" ht="16" x14ac:dyDescent="0.2">
      <c r="A31" s="11" t="s">
        <v>65</v>
      </c>
      <c r="B31" s="12">
        <v>6</v>
      </c>
      <c r="C31" s="11"/>
      <c r="D31" s="11"/>
      <c r="E31" s="11"/>
      <c r="F31" s="2">
        <f t="shared" si="217"/>
        <v>0</v>
      </c>
      <c r="G31" s="11" t="s">
        <v>14</v>
      </c>
      <c r="H31" s="11" t="s">
        <v>30</v>
      </c>
      <c r="I31" s="2">
        <f t="shared" ref="I31" ca="1" si="229">IF(H31="Bartender",(HLOOKUP(G31,TuesFoodTable,6)*B31)+(HLOOKUP(G31,TuesHostTable,6)*B31)+K31,SUM(K31,L31,M31))</f>
        <v>22.93</v>
      </c>
      <c r="J31" s="2">
        <f t="shared" ref="J31" ca="1" si="230">IFERROR(IF(H31="Bartender",(HLOOKUP(G31,TuesBarTable,6)*B31)+I31,C31+I31),"")</f>
        <v>22.93</v>
      </c>
      <c r="K31" s="7">
        <f t="shared" ref="K31" si="231">IF(H31="Server",-E31*AlcoholTipPercentage,0)+IF(H31="Bartender",HLOOKUP(G31,TuesBarTable,5)*B31)</f>
        <v>0</v>
      </c>
      <c r="L31" s="7" cm="1">
        <f t="array" ref="L31">IFERROR(_xlfn.IFS(HLOOKUP(G31,TuesFoodTable,2)=0,0,OR(H31="Server",H31="Bartender"),-D31*FoodTipPercentage,OR(H31="Expo",H31="Food Runner"),HLOOKUP(G31,TuesFoodTable,5)*B31,H31="Host",0),"")</f>
        <v>0</v>
      </c>
      <c r="M31" s="7" cm="1">
        <f t="array" aca="1" ref="M31" ca="1">IFERROR(_xlfn.IFS(HLOOKUP(G31,TuesHostTable,2)=0,0,OR(H31="Server",H31="Bartender"),-F31*HostTipPercentage,H31="Host",HLOOKUP(G31,TuesHostTable,5)*B31,OR(H31="Expo",H31="Food Runner"),0),"")</f>
        <v>22.93</v>
      </c>
      <c r="N31" s="16" t="s">
        <v>63</v>
      </c>
      <c r="O31" s="17">
        <v>5</v>
      </c>
      <c r="P31" s="16">
        <v>135</v>
      </c>
      <c r="Q31" s="16">
        <v>399</v>
      </c>
      <c r="R31" s="16">
        <v>400</v>
      </c>
      <c r="S31" s="42">
        <f t="shared" si="221"/>
        <v>799</v>
      </c>
      <c r="T31" s="16" t="s">
        <v>14</v>
      </c>
      <c r="U31" s="16" t="s">
        <v>30</v>
      </c>
      <c r="V31" s="42">
        <f t="shared" ref="V31" ca="1" si="232">IF(U31="Bartender",(HLOOKUP(T31,ThursFoodTable,6)*O31)+(HLOOKUP(T31,ThursHostTable,6)*O31)+X31,SUM(X31,Y31,Z31))</f>
        <v>27.1</v>
      </c>
      <c r="W31" s="42">
        <f t="shared" ref="W31" ca="1" si="233">IFERROR(IF(U31="Bartender",(HLOOKUP(T31,ThursBarTable,6)*O31)+V31,P31+V31),"")</f>
        <v>162.1</v>
      </c>
      <c r="X31" s="7">
        <f t="shared" ref="X31" si="234">IF(U31="Server",-R31*AlcoholTipPercentage,0)+IF(U31="Bartender",HLOOKUP(T31,ThursBarTable,5)*O31)</f>
        <v>0</v>
      </c>
      <c r="Y31" s="7" cm="1">
        <f t="array" ref="Y31">IFERROR(_xlfn.IFS(HLOOKUP(T31,ThursFoodTable,2)=0,0,OR(U31="Server",U31="Bartender"),-Q31*FoodTipPercentage,OR(U31="Expo",U31="Food Runner"),HLOOKUP(T31,ThursFoodTable,5)*O31,U31="Host",0),"")</f>
        <v>0</v>
      </c>
      <c r="Z31" s="7" cm="1">
        <f t="array" aca="1" ref="Z31" ca="1">IFERROR(_xlfn.IFS(HLOOKUP(T31,ThursHostTable,2)=0,0,OR(U31="Server",U31="Bartender"),-S31*HostTipPercentage,U31="Host",HLOOKUP(T31,ThursHostTable,5)*O31,OR(U31="Expo",U31="Food Runner"),0),"")</f>
        <v>27.1</v>
      </c>
      <c r="AA31" s="9" t="s">
        <v>64</v>
      </c>
      <c r="AB31" s="10">
        <v>3</v>
      </c>
      <c r="AC31" s="9"/>
      <c r="AD31" s="9"/>
      <c r="AE31" s="9"/>
      <c r="AF31" s="38">
        <f t="shared" si="225"/>
        <v>0</v>
      </c>
      <c r="AG31" s="9"/>
      <c r="AH31" s="9"/>
      <c r="AI31" s="38">
        <f t="shared" ref="AI31" si="235">IF(AH31="Bartender",(HLOOKUP(AG31,SatFoodTable,6)*AB31)+(HLOOKUP(AG31,SatHostTable,6)*AB31)+AK31,SUM(AK31,AL31,AM31))</f>
        <v>0</v>
      </c>
      <c r="AJ31" s="38">
        <f t="shared" ref="AJ31" si="236">IFERROR(IF(AH31="Bartender",(HLOOKUP(AG31,SatBarTable,6)*AB31)+AI31,AC31+AI31),"")</f>
        <v>0</v>
      </c>
      <c r="AK31" s="7">
        <f t="shared" ref="AK31" si="237">IF(AH31="Server",-AE31*AlcoholTipPercentage,0)+IF(AH31="Bartender",HLOOKUP(AG31,SatBarTable,5)*AB31)</f>
        <v>0</v>
      </c>
      <c r="AL31" s="7" t="str" cm="1">
        <f t="array" ref="AL31">IFERROR(_xlfn.IFS(HLOOKUP(AG31,SatFoodTable,2)=0,0,OR(AH31="Server",AH31="Bartender"),-AD31*FoodTipPercentage,OR(AH31="Expo",AH31="Food Runner"),HLOOKUP(AG31,SatFoodTable,5)*AB31,AH31="Host",0),"")</f>
        <v/>
      </c>
      <c r="AM31" s="7" t="str" cm="1">
        <f t="array" ref="AM31">IFERROR(_xlfn.IFS(HLOOKUP(AG31,SatHostTable,2)=0,0,OR(AH31="Server",AH31="Bartender"),-AF31*HostTipPercentage,AH31="Host",HLOOKUP(AG31,SatHostTable,5)*AB31,OR(AH31="Expo",AH31="Food Runner"),0),"")</f>
        <v/>
      </c>
      <c r="AN31" s="18" t="s">
        <v>55</v>
      </c>
      <c r="AO31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59</v>
      </c>
      <c r="AP31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1438.75</v>
      </c>
      <c r="AQ31" s="7">
        <f ca="1">IFERROR(Table4247891011121314182123252723[[#This Row],[Weekly Tips]]/Table4247891011121314182123252723[[#This Row],[Hours]],0)</f>
        <v>24.385593220338983</v>
      </c>
      <c r="AR31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4824.1400000000003</v>
      </c>
      <c r="AS31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2978.52</v>
      </c>
      <c r="AT31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7802.66</v>
      </c>
      <c r="AU31" s="7" t="s">
        <v>15</v>
      </c>
    </row>
    <row r="32" spans="1:52" ht="16" x14ac:dyDescent="0.2">
      <c r="A32" s="11" t="s">
        <v>65</v>
      </c>
      <c r="B32" s="12">
        <v>6</v>
      </c>
      <c r="C32" s="11"/>
      <c r="D32" s="11"/>
      <c r="E32" s="11"/>
      <c r="F32" s="2">
        <f t="shared" si="217"/>
        <v>0</v>
      </c>
      <c r="G32" s="11" t="s">
        <v>20</v>
      </c>
      <c r="H32" s="11" t="s">
        <v>30</v>
      </c>
      <c r="I32" s="2">
        <f t="shared" ref="I32" ca="1" si="238">IF(H32="Bartender",(HLOOKUP(G32,TuesFoodTable,6)*B32)+(HLOOKUP(G32,TuesHostTable,6)*B32)+K32,SUM(K32,L32,M32))</f>
        <v>54.010000000000005</v>
      </c>
      <c r="J32" s="2">
        <f t="shared" ref="J32" ca="1" si="239">IFERROR(IF(H32="Bartender",(HLOOKUP(G32,TuesBarTable,6)*B32)+I32,C32+I32),"")</f>
        <v>54.010000000000005</v>
      </c>
      <c r="K32" s="7">
        <f t="shared" ref="K32" si="240">IF(H32="Server",-E32*AlcoholTipPercentage,0)+IF(H32="Bartender",HLOOKUP(G32,TuesBarTable,5)*B32)</f>
        <v>0</v>
      </c>
      <c r="L32" s="7" cm="1">
        <f t="array" ref="L32">IFERROR(_xlfn.IFS(HLOOKUP(G32,TuesFoodTable,2)=0,0,OR(H32="Server",H32="Bartender"),-D32*FoodTipPercentage,OR(H32="Expo",H32="Food Runner"),HLOOKUP(G32,TuesFoodTable,5)*B32,H32="Host",0),"")</f>
        <v>0</v>
      </c>
      <c r="M32" s="7" cm="1">
        <f t="array" aca="1" ref="M32" ca="1">IFERROR(_xlfn.IFS(HLOOKUP(G32,TuesHostTable,2)=0,0,OR(H32="Server",H32="Bartender"),-F32*HostTipPercentage,H32="Host",HLOOKUP(G32,TuesHostTable,5)*B32,OR(H32="Expo",H32="Food Runner"),0),"")</f>
        <v>54.010000000000005</v>
      </c>
      <c r="N32" s="16" t="s">
        <v>57</v>
      </c>
      <c r="O32" s="17">
        <v>7</v>
      </c>
      <c r="P32" s="16">
        <v>351</v>
      </c>
      <c r="Q32" s="16">
        <v>350</v>
      </c>
      <c r="R32" s="16">
        <v>345</v>
      </c>
      <c r="S32" s="42">
        <f t="shared" si="221"/>
        <v>695</v>
      </c>
      <c r="T32" s="16" t="s">
        <v>20</v>
      </c>
      <c r="U32" s="16" t="s">
        <v>30</v>
      </c>
      <c r="V32" s="42">
        <f t="shared" ref="V32" ca="1" si="241">IF(U32="Bartender",(HLOOKUP(T32,ThursFoodTable,6)*O32)+(HLOOKUP(T32,ThursHostTable,6)*O32)+X32,SUM(X32,Y32,Z32))</f>
        <v>14.370000000000001</v>
      </c>
      <c r="W32" s="42">
        <f t="shared" ref="W32" ca="1" si="242">IFERROR(IF(U32="Bartender",(HLOOKUP(T32,ThursBarTable,6)*O32)+V32,P32+V32),"")</f>
        <v>365.37</v>
      </c>
      <c r="X32" s="7">
        <f t="shared" ref="X32" si="243">IF(U32="Server",-R32*AlcoholTipPercentage,0)+IF(U32="Bartender",HLOOKUP(T32,ThursBarTable,5)*O32)</f>
        <v>0</v>
      </c>
      <c r="Y32" s="7" cm="1">
        <f t="array" aca="1" ref="Y32" ca="1">IFERROR(_xlfn.IFS(HLOOKUP(T32,ThursFoodTable,2)=0,0,OR(U32="Server",U32="Bartender"),-Q32*FoodTipPercentage,OR(U32="Expo",U32="Food Runner"),HLOOKUP(T32,ThursFoodTable,5)*O32,U32="Host",0),"")</f>
        <v>0</v>
      </c>
      <c r="Z32" s="7" cm="1">
        <f t="array" aca="1" ref="Z32" ca="1">IFERROR(_xlfn.IFS(HLOOKUP(T32,ThursHostTable,2)=0,0,OR(U32="Server",U32="Bartender"),-S32*HostTipPercentage,U32="Host",HLOOKUP(T32,ThursHostTable,5)*O32,OR(U32="Expo",U32="Food Runner"),0),"")</f>
        <v>14.370000000000001</v>
      </c>
      <c r="AA32" s="9" t="s">
        <v>59</v>
      </c>
      <c r="AB32" s="10">
        <v>6</v>
      </c>
      <c r="AC32" s="9">
        <v>165</v>
      </c>
      <c r="AD32" s="9">
        <v>400</v>
      </c>
      <c r="AE32" s="9">
        <v>450</v>
      </c>
      <c r="AF32" s="38">
        <f t="shared" si="225"/>
        <v>850</v>
      </c>
      <c r="AG32" s="9"/>
      <c r="AH32" s="9"/>
      <c r="AI32" s="38">
        <f t="shared" ref="AI32" si="244">IF(AH32="Bartender",(HLOOKUP(AG32,SatFoodTable,6)*AB32)+(HLOOKUP(AG32,SatHostTable,6)*AB32)+AK32,SUM(AK32,AL32,AM32))</f>
        <v>0</v>
      </c>
      <c r="AJ32" s="38">
        <f t="shared" ref="AJ32" si="245">IFERROR(IF(AH32="Bartender",(HLOOKUP(AG32,SatBarTable,6)*AB32)+AI32,AC32+AI32),"")</f>
        <v>165</v>
      </c>
      <c r="AK32" s="7">
        <f t="shared" ref="AK32" si="246">IF(AH32="Server",-AE32*AlcoholTipPercentage,0)+IF(AH32="Bartender",HLOOKUP(AG32,SatBarTable,5)*AB32)</f>
        <v>0</v>
      </c>
      <c r="AL32" s="7" t="str" cm="1">
        <f t="array" ref="AL32">IFERROR(_xlfn.IFS(HLOOKUP(AG32,SatFoodTable,2)=0,0,OR(AH32="Server",AH32="Bartender"),-AD32*FoodTipPercentage,OR(AH32="Expo",AH32="Food Runner"),HLOOKUP(AG32,SatFoodTable,5)*AB32,AH32="Host",0),"")</f>
        <v/>
      </c>
      <c r="AM32" s="7" t="str" cm="1">
        <f t="array" ref="AM32">IFERROR(_xlfn.IFS(HLOOKUP(AG32,SatHostTable,2)=0,0,OR(AH32="Server",AH32="Bartender"),-AF32*HostTipPercentage,AH32="Host",HLOOKUP(AG32,SatHostTable,5)*AB32,OR(AH32="Expo",AH32="Food Runner"),0),"")</f>
        <v/>
      </c>
      <c r="AN32" s="18" t="s">
        <v>63</v>
      </c>
      <c r="AO32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37</v>
      </c>
      <c r="AP32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1025.1707692307691</v>
      </c>
      <c r="AQ32" s="7">
        <f ca="1">IFERROR(Table4247891011121314182123252723[[#This Row],[Weekly Tips]]/Table4247891011121314182123252723[[#This Row],[Hours]],0)</f>
        <v>27.707318087318082</v>
      </c>
      <c r="AR32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3090</v>
      </c>
      <c r="AS32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2584</v>
      </c>
      <c r="AT32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5674</v>
      </c>
      <c r="AU32" s="7" t="s">
        <v>30</v>
      </c>
    </row>
    <row r="33" spans="1:47" ht="16" x14ac:dyDescent="0.2">
      <c r="A33" s="11" t="s">
        <v>64</v>
      </c>
      <c r="B33" s="12">
        <v>8</v>
      </c>
      <c r="C33" s="11">
        <v>300</v>
      </c>
      <c r="D33" s="11">
        <v>500</v>
      </c>
      <c r="E33" s="11">
        <v>800</v>
      </c>
      <c r="F33" s="2">
        <f t="shared" si="217"/>
        <v>1300</v>
      </c>
      <c r="G33" s="11" t="s">
        <v>20</v>
      </c>
      <c r="H33" s="11" t="s">
        <v>15</v>
      </c>
      <c r="I33" s="2">
        <f t="shared" ref="I33" ca="1" si="247">IF(H33="Bartender",(HLOOKUP(G33,TuesFoodTable,6)*B33)+(HLOOKUP(G33,TuesHostTable,6)*B33)+K33,SUM(K33,L33,M33))</f>
        <v>29.18</v>
      </c>
      <c r="J33" s="2">
        <f t="shared" ref="J33" ca="1" si="248">IFERROR(IF(H33="Bartender",(HLOOKUP(G33,TuesBarTable,6)*B33)+I33,C33+I33),"")</f>
        <v>329.18</v>
      </c>
      <c r="K33" s="7">
        <f t="shared" ref="K33" si="249">IF(H33="Server",-E33*AlcoholTipPercentage,0)+IF(H33="Bartender",HLOOKUP(G33,TuesBarTable,5)*B33)</f>
        <v>42.18</v>
      </c>
      <c r="L33" s="7" cm="1">
        <f t="array" ref="L33">IFERROR(_xlfn.IFS(HLOOKUP(G33,TuesFoodTable,2)=0,0,OR(H33="Server",H33="Bartender"),-D33*FoodTipPercentage,OR(H33="Expo",H33="Food Runner"),HLOOKUP(G33,TuesFoodTable,5)*B33,H33="Host",0),"")</f>
        <v>0</v>
      </c>
      <c r="M33" s="7" cm="1">
        <f t="array" aca="1" ref="M33" ca="1">IFERROR(_xlfn.IFS(HLOOKUP(G33,TuesHostTable,2)=0,0,OR(H33="Server",H33="Bartender"),-F33*HostTipPercentage,H33="Host",HLOOKUP(G33,TuesHostTable,5)*B33,OR(H33="Expo",H33="Food Runner"),0),"")</f>
        <v>-13</v>
      </c>
      <c r="N33" s="16" t="s">
        <v>55</v>
      </c>
      <c r="O33" s="17">
        <v>7</v>
      </c>
      <c r="P33" s="16">
        <v>10</v>
      </c>
      <c r="Q33" s="16">
        <v>9</v>
      </c>
      <c r="R33" s="16">
        <v>235</v>
      </c>
      <c r="S33" s="42">
        <f t="shared" si="221"/>
        <v>244</v>
      </c>
      <c r="T33" s="16" t="s">
        <v>20</v>
      </c>
      <c r="U33" s="16" t="s">
        <v>15</v>
      </c>
      <c r="V33" s="42">
        <f t="shared" ref="V33" ca="1" si="250">IF(U33="Bartender",(HLOOKUP(T33,ThursFoodTable,6)*O33)+(HLOOKUP(T33,ThursHostTable,6)*O33)+X33,SUM(X33,Y33,Z33))</f>
        <v>12.259999999999998</v>
      </c>
      <c r="W33" s="42">
        <f t="shared" ref="W33" ca="1" si="251">IFERROR(IF(U33="Bartender",(HLOOKUP(T33,ThursBarTable,6)*O33)+V33,P33+V33),"")</f>
        <v>22.259999999999998</v>
      </c>
      <c r="X33" s="7">
        <f t="shared" ref="X33" si="252">IF(U33="Server",-R33*AlcoholTipPercentage,0)+IF(U33="Bartender",HLOOKUP(T33,ThursBarTable,5)*O33)</f>
        <v>14.879999999999999</v>
      </c>
      <c r="Y33" s="7" cm="1">
        <f t="array" aca="1" ref="Y33" ca="1">IFERROR(_xlfn.IFS(HLOOKUP(T33,ThursFoodTable,2)=0,0,OR(U33="Server",U33="Bartender"),-Q33*FoodTipPercentage,OR(U33="Expo",U33="Food Runner"),HLOOKUP(T33,ThursFoodTable,5)*O33,U33="Host",0),"")</f>
        <v>-0.18</v>
      </c>
      <c r="Z33" s="7" cm="1">
        <f t="array" aca="1" ref="Z33" ca="1">IFERROR(_xlfn.IFS(HLOOKUP(T33,ThursHostTable,2)=0,0,OR(U33="Server",U33="Bartender"),-S33*HostTipPercentage,U33="Host",HLOOKUP(T33,ThursHostTable,5)*O33,OR(U33="Expo",U33="Food Runner"),0),"")</f>
        <v>-2.44</v>
      </c>
      <c r="AA33" s="9" t="s">
        <v>61</v>
      </c>
      <c r="AB33" s="10">
        <v>6</v>
      </c>
      <c r="AC33" s="9">
        <v>456</v>
      </c>
      <c r="AD33" s="9">
        <v>768</v>
      </c>
      <c r="AE33" s="9">
        <v>585</v>
      </c>
      <c r="AF33" s="38">
        <f t="shared" si="225"/>
        <v>1353</v>
      </c>
      <c r="AG33" s="9"/>
      <c r="AH33" s="9"/>
      <c r="AI33" s="38">
        <f t="shared" ref="AI33" si="253">IF(AH33="Bartender",(HLOOKUP(AG33,SatFoodTable,6)*AB33)+(HLOOKUP(AG33,SatHostTable,6)*AB33)+AK33,SUM(AK33,AL33,AM33))</f>
        <v>0</v>
      </c>
      <c r="AJ33" s="38">
        <f t="shared" ref="AJ33" si="254">IFERROR(IF(AH33="Bartender",(HLOOKUP(AG33,SatBarTable,6)*AB33)+AI33,AC33+AI33),"")</f>
        <v>456</v>
      </c>
      <c r="AK33" s="7">
        <f t="shared" ref="AK33" si="255">IF(AH33="Server",-AE33*AlcoholTipPercentage,0)+IF(AH33="Bartender",HLOOKUP(AG33,SatBarTable,5)*AB33)</f>
        <v>0</v>
      </c>
      <c r="AL33" s="7" t="str" cm="1">
        <f t="array" ref="AL33">IFERROR(_xlfn.IFS(HLOOKUP(AG33,SatFoodTable,2)=0,0,OR(AH33="Server",AH33="Bartender"),-AD33*FoodTipPercentage,OR(AH33="Expo",AH33="Food Runner"),HLOOKUP(AG33,SatFoodTable,5)*AB33,AH33="Host",0),"")</f>
        <v/>
      </c>
      <c r="AM33" s="7" t="str" cm="1">
        <f t="array" ref="AM33">IFERROR(_xlfn.IFS(HLOOKUP(AG33,SatHostTable,2)=0,0,OR(AH33="Server",AH33="Bartender"),-AF33*HostTipPercentage,AH33="Host",HLOOKUP(AG33,SatHostTable,5)*AB33,OR(AH33="Expo",AH33="Food Runner"),0),"")</f>
        <v/>
      </c>
      <c r="AN33" s="18" t="s">
        <v>57</v>
      </c>
      <c r="AO33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48</v>
      </c>
      <c r="AP33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1480.3892307692308</v>
      </c>
      <c r="AQ33" s="7">
        <f ca="1">IFERROR(Table4247891011121314182123252723[[#This Row],[Weekly Tips]]/Table4247891011121314182123252723[[#This Row],[Hours]],0)</f>
        <v>30.841442307692308</v>
      </c>
      <c r="AR33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4251.51</v>
      </c>
      <c r="AS33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2358.14</v>
      </c>
      <c r="AT33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6609.65</v>
      </c>
      <c r="AU33" s="7" t="s">
        <v>18</v>
      </c>
    </row>
    <row r="34" spans="1:47" ht="16" x14ac:dyDescent="0.2">
      <c r="A34" s="11" t="s">
        <v>62</v>
      </c>
      <c r="B34" s="12">
        <v>6</v>
      </c>
      <c r="C34" s="11">
        <v>232</v>
      </c>
      <c r="D34" s="11">
        <v>900</v>
      </c>
      <c r="E34" s="11">
        <v>500</v>
      </c>
      <c r="F34" s="2">
        <f t="shared" si="217"/>
        <v>1400</v>
      </c>
      <c r="G34" s="11" t="s">
        <v>20</v>
      </c>
      <c r="H34" s="11" t="s">
        <v>18</v>
      </c>
      <c r="I34" s="2">
        <f t="shared" ref="I34" ca="1" si="256">IF(H34="Bartender",(HLOOKUP(G34,TuesFoodTable,6)*B34)+(HLOOKUP(G34,TuesHostTable,6)*B34)+K34,SUM(K34,L34,M34))</f>
        <v>-29</v>
      </c>
      <c r="J34" s="2">
        <f t="shared" ref="J34" ca="1" si="257">IFERROR(IF(H34="Bartender",(HLOOKUP(G34,TuesBarTable,6)*B34)+I34,C34+I34),"")</f>
        <v>203</v>
      </c>
      <c r="K34" s="7">
        <f t="shared" ref="K34" si="258">IF(H34="Server",-E34*AlcoholTipPercentage,0)+IF(H34="Bartender",HLOOKUP(G34,TuesBarTable,5)*B34)</f>
        <v>-15</v>
      </c>
      <c r="L34" s="7" cm="1">
        <f t="array" ref="L34">IFERROR(_xlfn.IFS(HLOOKUP(G34,TuesFoodTable,2)=0,0,OR(H34="Server",H34="Bartender"),-D34*FoodTipPercentage,OR(H34="Expo",H34="Food Runner"),HLOOKUP(G34,TuesFoodTable,5)*B34,H34="Host",0),"")</f>
        <v>0</v>
      </c>
      <c r="M34" s="7" cm="1">
        <f t="array" aca="1" ref="M34" ca="1">IFERROR(_xlfn.IFS(HLOOKUP(G34,TuesHostTable,2)=0,0,OR(H34="Server",H34="Bartender"),-F34*HostTipPercentage,H34="Host",HLOOKUP(G34,TuesHostTable,5)*B34,OR(H34="Expo",H34="Food Runner"),0),"")</f>
        <v>-14</v>
      </c>
      <c r="N34" s="16" t="s">
        <v>61</v>
      </c>
      <c r="O34" s="17">
        <v>6</v>
      </c>
      <c r="P34" s="16">
        <v>187</v>
      </c>
      <c r="Q34" s="16">
        <v>697</v>
      </c>
      <c r="R34" s="16">
        <v>496</v>
      </c>
      <c r="S34" s="42">
        <f t="shared" si="221"/>
        <v>1193</v>
      </c>
      <c r="T34" s="16" t="s">
        <v>20</v>
      </c>
      <c r="U34" s="16" t="s">
        <v>18</v>
      </c>
      <c r="V34" s="42">
        <f t="shared" ref="V34" ca="1" si="259">IF(U34="Bartender",(HLOOKUP(T34,ThursFoodTable,6)*O34)+(HLOOKUP(T34,ThursHostTable,6)*O34)+X34,SUM(X34,Y34,Z34))</f>
        <v>-40.75</v>
      </c>
      <c r="W34" s="42">
        <f t="shared" ref="W34" ca="1" si="260">IFERROR(IF(U34="Bartender",(HLOOKUP(T34,ThursBarTable,6)*O34)+V34,P34+V34),"")</f>
        <v>146.25</v>
      </c>
      <c r="X34" s="7">
        <f t="shared" ref="X34" si="261">IF(U34="Server",-R34*AlcoholTipPercentage,0)+IF(U34="Bartender",HLOOKUP(T34,ThursBarTable,5)*O34)</f>
        <v>-14.879999999999999</v>
      </c>
      <c r="Y34" s="7" cm="1">
        <f t="array" aca="1" ref="Y34" ca="1">IFERROR(_xlfn.IFS(HLOOKUP(T34,ThursFoodTable,2)=0,0,OR(U34="Server",U34="Bartender"),-Q34*FoodTipPercentage,OR(U34="Expo",U34="Food Runner"),HLOOKUP(T34,ThursFoodTable,5)*O34,U34="Host",0),"")</f>
        <v>-13.94</v>
      </c>
      <c r="Z34" s="7" cm="1">
        <f t="array" aca="1" ref="Z34" ca="1">IFERROR(_xlfn.IFS(HLOOKUP(T34,ThursHostTable,2)=0,0,OR(U34="Server",U34="Bartender"),-S34*HostTipPercentage,U34="Host",HLOOKUP(T34,ThursHostTable,5)*O34,OR(U34="Expo",U34="Food Runner"),0),"")</f>
        <v>-11.93</v>
      </c>
      <c r="AA34" s="9" t="s">
        <v>58</v>
      </c>
      <c r="AB34" s="10">
        <v>6</v>
      </c>
      <c r="AC34" s="9">
        <v>241</v>
      </c>
      <c r="AD34" s="9">
        <v>879</v>
      </c>
      <c r="AE34" s="9">
        <v>563</v>
      </c>
      <c r="AF34" s="38">
        <f t="shared" si="225"/>
        <v>1442</v>
      </c>
      <c r="AG34" s="9"/>
      <c r="AH34" s="9"/>
      <c r="AI34" s="38">
        <f t="shared" ref="AI34" si="262">IF(AH34="Bartender",(HLOOKUP(AG34,SatFoodTable,6)*AB34)+(HLOOKUP(AG34,SatHostTable,6)*AB34)+AK34,SUM(AK34,AL34,AM34))</f>
        <v>0</v>
      </c>
      <c r="AJ34" s="38">
        <f t="shared" ref="AJ34" si="263">IFERROR(IF(AH34="Bartender",(HLOOKUP(AG34,SatBarTable,6)*AB34)+AI34,AC34+AI34),"")</f>
        <v>241</v>
      </c>
      <c r="AK34" s="7">
        <f t="shared" ref="AK34" si="264">IF(AH34="Server",-AE34*AlcoholTipPercentage,0)+IF(AH34="Bartender",HLOOKUP(AG34,SatBarTable,5)*AB34)</f>
        <v>0</v>
      </c>
      <c r="AL34" s="7" t="str" cm="1">
        <f t="array" ref="AL34">IFERROR(_xlfn.IFS(HLOOKUP(AG34,SatFoodTable,2)=0,0,OR(AH34="Server",AH34="Bartender"),-AD34*FoodTipPercentage,OR(AH34="Expo",AH34="Food Runner"),HLOOKUP(AG34,SatFoodTable,5)*AB34,AH34="Host",0),"")</f>
        <v/>
      </c>
      <c r="AM34" s="7" t="str" cm="1">
        <f t="array" ref="AM34">IFERROR(_xlfn.IFS(HLOOKUP(AG34,SatHostTable,2)=0,0,OR(AH34="Server",AH34="Bartender"),-AF34*HostTipPercentage,AH34="Host",HLOOKUP(AG34,SatHostTable,5)*AB34,OR(AH34="Expo",AH34="Food Runner"),0),"")</f>
        <v/>
      </c>
      <c r="AN34" s="18" t="s">
        <v>58</v>
      </c>
      <c r="AO34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27</v>
      </c>
      <c r="AP34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594.29999999999995</v>
      </c>
      <c r="AQ34" s="7">
        <f ca="1">IFERROR(Table4247891011121314182123252723[[#This Row],[Weekly Tips]]/Table4247891011121314182123252723[[#This Row],[Hours]],0)</f>
        <v>22.011111111111109</v>
      </c>
      <c r="AR34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2537</v>
      </c>
      <c r="AS34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1116</v>
      </c>
      <c r="AT34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3653</v>
      </c>
    </row>
    <row r="35" spans="1:47" ht="16" x14ac:dyDescent="0.2">
      <c r="A35" s="11" t="s">
        <v>55</v>
      </c>
      <c r="B35" s="12">
        <v>6</v>
      </c>
      <c r="C35" s="11">
        <v>186</v>
      </c>
      <c r="D35" s="11">
        <v>795</v>
      </c>
      <c r="E35" s="11">
        <v>532</v>
      </c>
      <c r="F35" s="2">
        <f t="shared" si="217"/>
        <v>1327</v>
      </c>
      <c r="G35" s="11" t="s">
        <v>20</v>
      </c>
      <c r="H35" s="11" t="s">
        <v>18</v>
      </c>
      <c r="I35" s="2">
        <f t="shared" ref="I35" ca="1" si="265">IF(H35="Bartender",(HLOOKUP(G35,TuesFoodTable,6)*B35)+(HLOOKUP(G35,TuesHostTable,6)*B35)+K35,SUM(K35,L35,M35))</f>
        <v>-29.229999999999997</v>
      </c>
      <c r="J35" s="2">
        <f t="shared" ref="J35" ca="1" si="266">IFERROR(IF(H35="Bartender",(HLOOKUP(G35,TuesBarTable,6)*B35)+I35,C35+I35),"")</f>
        <v>156.77000000000001</v>
      </c>
      <c r="K35" s="7">
        <f t="shared" ref="K35" si="267">IF(H35="Server",-E35*AlcoholTipPercentage,0)+IF(H35="Bartender",HLOOKUP(G35,TuesBarTable,5)*B35)</f>
        <v>-15.959999999999999</v>
      </c>
      <c r="L35" s="7" cm="1">
        <f t="array" ref="L35">IFERROR(_xlfn.IFS(HLOOKUP(G35,TuesFoodTable,2)=0,0,OR(H35="Server",H35="Bartender"),-D35*FoodTipPercentage,OR(H35="Expo",H35="Food Runner"),HLOOKUP(G35,TuesFoodTable,5)*B35,H35="Host",0),"")</f>
        <v>0</v>
      </c>
      <c r="M35" s="7" cm="1">
        <f t="array" aca="1" ref="M35" ca="1">IFERROR(_xlfn.IFS(HLOOKUP(G35,TuesHostTable,2)=0,0,OR(H35="Server",H35="Bartender"),-F35*HostTipPercentage,H35="Host",HLOOKUP(G35,TuesHostTable,5)*B35,OR(H35="Expo",H35="Food Runner"),0),"")</f>
        <v>-13.27</v>
      </c>
      <c r="N35" s="16" t="s">
        <v>60</v>
      </c>
      <c r="O35" s="17">
        <v>4</v>
      </c>
      <c r="P35" s="16"/>
      <c r="Q35" s="16"/>
      <c r="R35" s="16"/>
      <c r="S35" s="42">
        <f t="shared" si="221"/>
        <v>0</v>
      </c>
      <c r="T35" s="16" t="s">
        <v>20</v>
      </c>
      <c r="U35" s="16" t="s">
        <v>33</v>
      </c>
      <c r="V35" s="42">
        <f t="shared" ref="V35" ca="1" si="268">IF(U35="Bartender",(HLOOKUP(T35,ThursFoodTable,6)*O35)+(HLOOKUP(T35,ThursHostTable,6)*O35)+X35,SUM(X35,Y35,Z35))</f>
        <v>14.12</v>
      </c>
      <c r="W35" s="42">
        <f t="shared" ref="W35" ca="1" si="269">IFERROR(IF(U35="Bartender",(HLOOKUP(T35,ThursBarTable,6)*O35)+V35,P35+V35),"")</f>
        <v>14.12</v>
      </c>
      <c r="X35" s="7">
        <f t="shared" ref="X35" si="270">IF(U35="Server",-R35*AlcoholTipPercentage,0)+IF(U35="Bartender",HLOOKUP(T35,ThursBarTable,5)*O35)</f>
        <v>0</v>
      </c>
      <c r="Y35" s="7" cm="1">
        <f t="array" aca="1" ref="Y35" ca="1">IFERROR(_xlfn.IFS(HLOOKUP(T35,ThursFoodTable,2)=0,0,OR(U35="Server",U35="Bartender"),-Q35*FoodTipPercentage,OR(U35="Expo",U35="Food Runner"),HLOOKUP(T35,ThursFoodTable,5)*O35,U35="Host",0),"")</f>
        <v>14.12</v>
      </c>
      <c r="Z35" s="7" cm="1">
        <f t="array" aca="1" ref="Z35" ca="1">IFERROR(_xlfn.IFS(HLOOKUP(T35,ThursHostTable,2)=0,0,OR(U35="Server",U35="Bartender"),-S35*HostTipPercentage,U35="Host",HLOOKUP(T35,ThursHostTable,5)*O35,OR(U35="Expo",U35="Food Runner"),0),"")</f>
        <v>0</v>
      </c>
      <c r="AA35" s="9" t="s">
        <v>60</v>
      </c>
      <c r="AB35" s="10">
        <v>8</v>
      </c>
      <c r="AC35" s="9">
        <v>167</v>
      </c>
      <c r="AD35" s="9">
        <v>555</v>
      </c>
      <c r="AE35" s="9">
        <v>310</v>
      </c>
      <c r="AF35" s="38">
        <f t="shared" si="225"/>
        <v>865</v>
      </c>
      <c r="AG35" s="9"/>
      <c r="AH35" s="9"/>
      <c r="AI35" s="38">
        <f t="shared" ref="AI35" si="271">IF(AH35="Bartender",(HLOOKUP(AG35,SatFoodTable,6)*AB35)+(HLOOKUP(AG35,SatHostTable,6)*AB35)+AK35,SUM(AK35,AL35,AM35))</f>
        <v>0</v>
      </c>
      <c r="AJ35" s="38">
        <f t="shared" ref="AJ35" si="272">IFERROR(IF(AH35="Bartender",(HLOOKUP(AG35,SatBarTable,6)*AB35)+AI35,AC35+AI35),"")</f>
        <v>167</v>
      </c>
      <c r="AK35" s="7">
        <f t="shared" ref="AK35" si="273">IF(AH35="Server",-AE35*AlcoholTipPercentage,0)+IF(AH35="Bartender",HLOOKUP(AG35,SatBarTable,5)*AB35)</f>
        <v>0</v>
      </c>
      <c r="AL35" s="7" t="str" cm="1">
        <f t="array" ref="AL35">IFERROR(_xlfn.IFS(HLOOKUP(AG35,SatFoodTable,2)=0,0,OR(AH35="Server",AH35="Bartender"),-AD35*FoodTipPercentage,OR(AH35="Expo",AH35="Food Runner"),HLOOKUP(AG35,SatFoodTable,5)*AB35,AH35="Host",0),"")</f>
        <v/>
      </c>
      <c r="AM35" s="7" t="str" cm="1">
        <f t="array" ref="AM35">IFERROR(_xlfn.IFS(HLOOKUP(AG35,SatHostTable,2)=0,0,OR(AH35="Server",AH35="Bartender"),-AF35*HostTipPercentage,AH35="Host",HLOOKUP(AG35,SatHostTable,5)*AB35,OR(AH35="Expo",AH35="Food Runner"),0),"")</f>
        <v/>
      </c>
      <c r="AN35" s="18" t="s">
        <v>56</v>
      </c>
      <c r="AO35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21</v>
      </c>
      <c r="AP35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379.48</v>
      </c>
      <c r="AQ35" s="7">
        <f ca="1">IFERROR(Table4247891011121314182123252723[[#This Row],[Weekly Tips]]/Table4247891011121314182123252723[[#This Row],[Hours]],0)</f>
        <v>18.070476190476192</v>
      </c>
      <c r="AR35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1700</v>
      </c>
      <c r="AS35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1114</v>
      </c>
      <c r="AT35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2814</v>
      </c>
    </row>
    <row r="36" spans="1:47" ht="16" x14ac:dyDescent="0.2">
      <c r="A36" s="11" t="s">
        <v>56</v>
      </c>
      <c r="B36" s="12">
        <v>7</v>
      </c>
      <c r="C36" s="11">
        <v>155</v>
      </c>
      <c r="D36" s="11">
        <v>1000</v>
      </c>
      <c r="E36" s="11">
        <v>374</v>
      </c>
      <c r="F36" s="2">
        <f t="shared" si="217"/>
        <v>1374</v>
      </c>
      <c r="G36" s="11" t="s">
        <v>20</v>
      </c>
      <c r="H36" s="11" t="s">
        <v>18</v>
      </c>
      <c r="I36" s="2">
        <f t="shared" ref="I36" ca="1" si="274">IF(H36="Bartender",(HLOOKUP(G36,TuesFoodTable,6)*B36)+(HLOOKUP(G36,TuesHostTable,6)*B36)+K36,SUM(K36,L36,M36))</f>
        <v>-24.96</v>
      </c>
      <c r="J36" s="2">
        <f t="shared" ref="J36" ca="1" si="275">IFERROR(IF(H36="Bartender",(HLOOKUP(G36,TuesBarTable,6)*B36)+I36,C36+I36),"")</f>
        <v>130.04</v>
      </c>
      <c r="K36" s="7">
        <f t="shared" ref="K36" si="276">IF(H36="Server",-E36*AlcoholTipPercentage,0)+IF(H36="Bartender",HLOOKUP(G36,TuesBarTable,5)*B36)</f>
        <v>-11.219999999999999</v>
      </c>
      <c r="L36" s="7" cm="1">
        <f t="array" ref="L36">IFERROR(_xlfn.IFS(HLOOKUP(G36,TuesFoodTable,2)=0,0,OR(H36="Server",H36="Bartender"),-D36*FoodTipPercentage,OR(H36="Expo",H36="Food Runner"),HLOOKUP(G36,TuesFoodTable,5)*B36,H36="Host",0),"")</f>
        <v>0</v>
      </c>
      <c r="M36" s="7" cm="1">
        <f t="array" aca="1" ref="M36" ca="1">IFERROR(_xlfn.IFS(HLOOKUP(G36,TuesHostTable,2)=0,0,OR(H36="Server",H36="Bartender"),-F36*HostTipPercentage,H36="Host",HLOOKUP(G36,TuesHostTable,5)*B36,OR(H36="Expo",H36="Food Runner"),0),"")</f>
        <v>-13.74</v>
      </c>
      <c r="N36" s="16"/>
      <c r="O36" s="17"/>
      <c r="P36" s="16"/>
      <c r="Q36" s="16"/>
      <c r="R36" s="16"/>
      <c r="S36" s="42">
        <f t="shared" si="221"/>
        <v>0</v>
      </c>
      <c r="T36" s="16"/>
      <c r="U36" s="16"/>
      <c r="V36" s="42">
        <f t="shared" ref="V36" si="277">IF(U36="Bartender",(HLOOKUP(T36,ThursFoodTable,6)*O36)+(HLOOKUP(T36,ThursHostTable,6)*O36)+X36,SUM(X36,Y36,Z36))</f>
        <v>0</v>
      </c>
      <c r="W36" s="42">
        <f t="shared" ref="W36" si="278">IFERROR(IF(U36="Bartender",(HLOOKUP(T36,ThursBarTable,6)*O36)+V36,P36+V36),"")</f>
        <v>0</v>
      </c>
      <c r="X36" s="7">
        <f t="shared" ref="X36" si="279">IF(U36="Server",-R36*AlcoholTipPercentage,0)+IF(U36="Bartender",HLOOKUP(T36,ThursBarTable,5)*O36)</f>
        <v>0</v>
      </c>
      <c r="Y36" s="7" t="str" cm="1">
        <f t="array" ref="Y36">IFERROR(_xlfn.IFS(HLOOKUP(T36,ThursFoodTable,2)=0,0,OR(U36="Server",U36="Bartender"),-Q36*FoodTipPercentage,OR(U36="Expo",U36="Food Runner"),HLOOKUP(T36,ThursFoodTable,5)*O36,U36="Host",0),"")</f>
        <v/>
      </c>
      <c r="Z36" s="7" t="str" cm="1">
        <f t="array" ref="Z36">IFERROR(_xlfn.IFS(HLOOKUP(T36,ThursHostTable,2)=0,0,OR(U36="Server",U36="Bartender"),-S36*HostTipPercentage,U36="Host",HLOOKUP(T36,ThursHostTable,5)*O36,OR(U36="Expo",U36="Food Runner"),0),"")</f>
        <v/>
      </c>
      <c r="AA36" s="9" t="s">
        <v>64</v>
      </c>
      <c r="AB36" s="10">
        <v>10</v>
      </c>
      <c r="AC36" s="9"/>
      <c r="AD36" s="9"/>
      <c r="AE36" s="9"/>
      <c r="AF36" s="38">
        <f t="shared" si="225"/>
        <v>0</v>
      </c>
      <c r="AG36" s="9"/>
      <c r="AH36" s="9"/>
      <c r="AI36" s="38">
        <f t="shared" ref="AI36" si="280">IF(AH36="Bartender",(HLOOKUP(AG36,SatFoodTable,6)*AB36)+(HLOOKUP(AG36,SatHostTable,6)*AB36)+AK36,SUM(AK36,AL36,AM36))</f>
        <v>0</v>
      </c>
      <c r="AJ36" s="38">
        <f t="shared" ref="AJ36" si="281">IFERROR(IF(AH36="Bartender",(HLOOKUP(AG36,SatBarTable,6)*AB36)+AI36,AC36+AI36),"")</f>
        <v>0</v>
      </c>
      <c r="AK36" s="7">
        <f t="shared" ref="AK36" si="282">IF(AH36="Server",-AE36*AlcoholTipPercentage,0)+IF(AH36="Bartender",HLOOKUP(AG36,SatBarTable,5)*AB36)</f>
        <v>0</v>
      </c>
      <c r="AL36" s="7" t="str" cm="1">
        <f t="array" ref="AL36">IFERROR(_xlfn.IFS(HLOOKUP(AG36,SatFoodTable,2)=0,0,OR(AH36="Server",AH36="Bartender"),-AD36*FoodTipPercentage,OR(AH36="Expo",AH36="Food Runner"),HLOOKUP(AG36,SatFoodTable,5)*AB36,AH36="Host",0),"")</f>
        <v/>
      </c>
      <c r="AM36" s="7" t="str" cm="1">
        <f t="array" ref="AM36">IFERROR(_xlfn.IFS(HLOOKUP(AG36,SatHostTable,2)=0,0,OR(AH36="Server",AH36="Bartender"),-AF36*HostTipPercentage,AH36="Host",HLOOKUP(AG36,SatHostTable,5)*AB36,OR(AH36="Expo",AH36="Food Runner"),0),"")</f>
        <v/>
      </c>
      <c r="AN36" s="18" t="s">
        <v>64</v>
      </c>
      <c r="AO36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27</v>
      </c>
      <c r="AP36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390.67</v>
      </c>
      <c r="AQ36" s="7">
        <f ca="1">IFERROR(Table4247891011121314182123252723[[#This Row],[Weekly Tips]]/Table4247891011121314182123252723[[#This Row],[Hours]],0)</f>
        <v>14.46925925925926</v>
      </c>
      <c r="AR36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500</v>
      </c>
      <c r="AS36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800</v>
      </c>
      <c r="AT36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1300</v>
      </c>
    </row>
    <row r="37" spans="1:47" ht="16" x14ac:dyDescent="0.2">
      <c r="A37" s="11"/>
      <c r="B37" s="12"/>
      <c r="C37" s="11"/>
      <c r="D37" s="11"/>
      <c r="E37" s="11"/>
      <c r="F37" s="37">
        <f t="shared" si="217"/>
        <v>0</v>
      </c>
      <c r="G37" s="11"/>
      <c r="H37" s="11"/>
      <c r="I37" s="2">
        <f t="shared" ref="I37" si="283">IF(H37="Bartender",(HLOOKUP(G37,TuesFoodTable,6)*B37)+(HLOOKUP(G37,TuesHostTable,6)*B37)+K37,SUM(K37,L37,M37))</f>
        <v>0</v>
      </c>
      <c r="J37" s="37">
        <f t="shared" ref="J37" si="284">IFERROR(IF(H37="Bartender",(HLOOKUP(G37,TuesBarTable,6)*B37)+I37,C37+I37),"")</f>
        <v>0</v>
      </c>
      <c r="K37" s="7">
        <f t="shared" ref="K37" si="285">IF(H37="Server",-E37*AlcoholTipPercentage,0)+IF(H37="Bartender",HLOOKUP(G37,TuesBarTable,5)*B37)</f>
        <v>0</v>
      </c>
      <c r="L37" s="7" t="str" cm="1">
        <f t="array" ref="L37">IFERROR(_xlfn.IFS(HLOOKUP(G37,TuesFoodTable,2)=0,0,OR(H37="Server",H37="Bartender"),-D37*FoodTipPercentage,OR(H37="Expo",H37="Food Runner"),HLOOKUP(G37,TuesFoodTable,5)*B37,H37="Host",0),"")</f>
        <v/>
      </c>
      <c r="M37" s="7" t="str" cm="1">
        <f t="array" ref="M37">IFERROR(_xlfn.IFS(HLOOKUP(G37,TuesHostTable,2)=0,0,OR(H37="Server",H37="Bartender"),-F37*HostTipPercentage,H37="Host",HLOOKUP(G37,TuesHostTable,5)*B37,OR(H37="Expo",H37="Food Runner"),0),"")</f>
        <v/>
      </c>
      <c r="N37" s="16"/>
      <c r="O37" s="17"/>
      <c r="P37" s="16"/>
      <c r="Q37" s="16"/>
      <c r="R37" s="16"/>
      <c r="S37" s="42">
        <f t="shared" si="221"/>
        <v>0</v>
      </c>
      <c r="T37" s="16"/>
      <c r="U37" s="16"/>
      <c r="V37" s="42">
        <f t="shared" ref="V37" si="286">IF(U37="Bartender",(HLOOKUP(T37,ThursFoodTable,6)*O37)+(HLOOKUP(T37,ThursHostTable,6)*O37)+X37,SUM(X37,Y37,Z37))</f>
        <v>0</v>
      </c>
      <c r="W37" s="42">
        <f t="shared" ref="W37" si="287">IFERROR(IF(U37="Bartender",(HLOOKUP(T37,ThursBarTable,6)*O37)+V37,P37+V37),"")</f>
        <v>0</v>
      </c>
      <c r="X37" s="7">
        <f t="shared" ref="X37" si="288">IF(U37="Server",-R37*AlcoholTipPercentage,0)+IF(U37="Bartender",HLOOKUP(T37,ThursBarTable,5)*O37)</f>
        <v>0</v>
      </c>
      <c r="Y37" s="7" t="str" cm="1">
        <f t="array" ref="Y37">IFERROR(_xlfn.IFS(HLOOKUP(T37,ThursFoodTable,2)=0,0,OR(U37="Server",U37="Bartender"),-Q37*FoodTipPercentage,OR(U37="Expo",U37="Food Runner"),HLOOKUP(T37,ThursFoodTable,5)*O37,U37="Host",0),"")</f>
        <v/>
      </c>
      <c r="Z37" s="7" t="str" cm="1">
        <f t="array" ref="Z37">IFERROR(_xlfn.IFS(HLOOKUP(T37,ThursHostTable,2)=0,0,OR(U37="Server",U37="Bartender"),-S37*HostTipPercentage,U37="Host",HLOOKUP(T37,ThursHostTable,5)*O37,OR(U37="Expo",U37="Food Runner"),0),"")</f>
        <v/>
      </c>
      <c r="AA37" s="9" t="s">
        <v>63</v>
      </c>
      <c r="AB37" s="10">
        <v>5</v>
      </c>
      <c r="AC37" s="9"/>
      <c r="AD37" s="9"/>
      <c r="AE37" s="9"/>
      <c r="AF37" s="38">
        <f t="shared" si="225"/>
        <v>0</v>
      </c>
      <c r="AG37" s="9"/>
      <c r="AH37" s="9"/>
      <c r="AI37" s="38">
        <f t="shared" ref="AI37" si="289">IF(AH37="Bartender",(HLOOKUP(AG37,SatFoodTable,6)*AB37)+(HLOOKUP(AG37,SatHostTable,6)*AB37)+AK37,SUM(AK37,AL37,AM37))</f>
        <v>0</v>
      </c>
      <c r="AJ37" s="38">
        <f t="shared" ref="AJ37" si="290">IFERROR(IF(AH37="Bartender",(HLOOKUP(AG37,SatBarTable,6)*AB37)+AI37,AC37+AI37),"")</f>
        <v>0</v>
      </c>
      <c r="AK37" s="7">
        <f t="shared" ref="AK37" si="291">IF(AH37="Server",-AE37*AlcoholTipPercentage,0)+IF(AH37="Bartender",HLOOKUP(AG37,SatBarTable,5)*AB37)</f>
        <v>0</v>
      </c>
      <c r="AL37" s="7" t="str" cm="1">
        <f t="array" ref="AL37">IFERROR(_xlfn.IFS(HLOOKUP(AG37,SatFoodTable,2)=0,0,OR(AH37="Server",AH37="Bartender"),-AD37*FoodTipPercentage,OR(AH37="Expo",AH37="Food Runner"),HLOOKUP(AG37,SatFoodTable,5)*AB37,AH37="Host",0),"")</f>
        <v/>
      </c>
      <c r="AM37" s="7" t="str" cm="1">
        <f t="array" ref="AM37">IFERROR(_xlfn.IFS(HLOOKUP(AG37,SatHostTable,2)=0,0,OR(AH37="Server",AH37="Bartender"),-AF37*HostTipPercentage,AH37="Host",HLOOKUP(AG37,SatHostTable,5)*AB37,OR(AH37="Expo",AH37="Food Runner"),0),"")</f>
        <v/>
      </c>
      <c r="AN37" s="18" t="s">
        <v>60</v>
      </c>
      <c r="AO37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24</v>
      </c>
      <c r="AP37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321.07</v>
      </c>
      <c r="AQ37" s="7">
        <f ca="1">IFERROR(Table4247891011121314182123252723[[#This Row],[Weekly Tips]]/Table4247891011121314182123252723[[#This Row],[Hours]],0)</f>
        <v>13.377916666666666</v>
      </c>
      <c r="AR37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1144</v>
      </c>
      <c r="AS37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735</v>
      </c>
      <c r="AT37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1879</v>
      </c>
    </row>
    <row r="38" spans="1:47" ht="16" x14ac:dyDescent="0.2">
      <c r="A38" s="11"/>
      <c r="B38" s="12"/>
      <c r="C38" s="11"/>
      <c r="D38" s="11"/>
      <c r="E38" s="11"/>
      <c r="F38" s="37">
        <f t="shared" si="217"/>
        <v>0</v>
      </c>
      <c r="G38" s="11"/>
      <c r="H38" s="11"/>
      <c r="I38" s="2">
        <f t="shared" ref="I38" si="292">IF(H38="Bartender",(HLOOKUP(G38,TuesFoodTable,6)*B38)+(HLOOKUP(G38,TuesHostTable,6)*B38)+K38,SUM(K38,L38,M38))</f>
        <v>0</v>
      </c>
      <c r="J38" s="37">
        <f t="shared" ref="J38" si="293">IFERROR(IF(H38="Bartender",(HLOOKUP(G38,TuesBarTable,6)*B38)+I38,C38+I38),"")</f>
        <v>0</v>
      </c>
      <c r="K38" s="7">
        <f t="shared" ref="K38" si="294">IF(H38="Server",-E38*AlcoholTipPercentage,0)+IF(H38="Bartender",HLOOKUP(G38,TuesBarTable,5)*B38)</f>
        <v>0</v>
      </c>
      <c r="L38" s="7" t="str" cm="1">
        <f t="array" ref="L38">IFERROR(_xlfn.IFS(HLOOKUP(G38,TuesFoodTable,2)=0,0,OR(H38="Server",H38="Bartender"),-D38*FoodTipPercentage,OR(H38="Expo",H38="Food Runner"),HLOOKUP(G38,TuesFoodTable,5)*B38,H38="Host",0),"")</f>
        <v/>
      </c>
      <c r="M38" s="7" t="str" cm="1">
        <f t="array" ref="M38">IFERROR(_xlfn.IFS(HLOOKUP(G38,TuesHostTable,2)=0,0,OR(H38="Server",H38="Bartender"),-F38*HostTipPercentage,H38="Host",HLOOKUP(G38,TuesHostTable,5)*B38,OR(H38="Expo",H38="Food Runner"),0),"")</f>
        <v/>
      </c>
      <c r="N38" s="16"/>
      <c r="O38" s="17"/>
      <c r="P38" s="16"/>
      <c r="Q38" s="16"/>
      <c r="R38" s="16"/>
      <c r="S38" s="42">
        <f t="shared" si="221"/>
        <v>0</v>
      </c>
      <c r="T38" s="16"/>
      <c r="U38" s="16"/>
      <c r="V38" s="42">
        <f t="shared" ref="V38" si="295">IF(U38="Bartender",(HLOOKUP(T38,ThursFoodTable,6)*O38)+(HLOOKUP(T38,ThursHostTable,6)*O38)+X38,SUM(X38,Y38,Z38))</f>
        <v>0</v>
      </c>
      <c r="W38" s="42">
        <f t="shared" ref="W38" si="296">IFERROR(IF(U38="Bartender",(HLOOKUP(T38,ThursBarTable,6)*O38)+V38,P38+V38),"")</f>
        <v>0</v>
      </c>
      <c r="X38" s="7">
        <f t="shared" ref="X38" si="297">IF(U38="Server",-R38*AlcoholTipPercentage,0)+IF(U38="Bartender",HLOOKUP(T38,ThursBarTable,5)*O38)</f>
        <v>0</v>
      </c>
      <c r="Y38" s="7" t="str" cm="1">
        <f t="array" ref="Y38">IFERROR(_xlfn.IFS(HLOOKUP(T38,ThursFoodTable,2)=0,0,OR(U38="Server",U38="Bartender"),-Q38*FoodTipPercentage,OR(U38="Expo",U38="Food Runner"),HLOOKUP(T38,ThursFoodTable,5)*O38,U38="Host",0),"")</f>
        <v/>
      </c>
      <c r="Z38" s="7" t="str" cm="1">
        <f t="array" ref="Z38">IFERROR(_xlfn.IFS(HLOOKUP(T38,ThursHostTable,2)=0,0,OR(U38="Server",U38="Bartender"),-S38*HostTipPercentage,U38="Host",HLOOKUP(T38,ThursHostTable,5)*O38,OR(U38="Expo",U38="Food Runner"),0),"")</f>
        <v/>
      </c>
      <c r="AA38" s="9" t="s">
        <v>62</v>
      </c>
      <c r="AB38" s="10">
        <v>5</v>
      </c>
      <c r="AC38" s="9"/>
      <c r="AD38" s="9"/>
      <c r="AE38" s="9"/>
      <c r="AF38" s="38">
        <f t="shared" si="225"/>
        <v>0</v>
      </c>
      <c r="AG38" s="9"/>
      <c r="AH38" s="9"/>
      <c r="AI38" s="38">
        <f t="shared" ref="AI38" si="298">IF(AH38="Bartender",(HLOOKUP(AG38,SatFoodTable,6)*AB38)+(HLOOKUP(AG38,SatHostTable,6)*AB38)+AK38,SUM(AK38,AL38,AM38))</f>
        <v>0</v>
      </c>
      <c r="AJ38" s="38">
        <f t="shared" ref="AJ38" si="299">IFERROR(IF(AH38="Bartender",(HLOOKUP(AG38,SatBarTable,6)*AB38)+AI38,AC38+AI38),"")</f>
        <v>0</v>
      </c>
      <c r="AK38" s="7">
        <f t="shared" ref="AK38" si="300">IF(AH38="Server",-AE38*AlcoholTipPercentage,0)+IF(AH38="Bartender",HLOOKUP(AG38,SatBarTable,5)*AB38)</f>
        <v>0</v>
      </c>
      <c r="AL38" s="7" t="str" cm="1">
        <f t="array" ref="AL38">IFERROR(_xlfn.IFS(HLOOKUP(AG38,SatFoodTable,2)=0,0,OR(AH38="Server",AH38="Bartender"),-AD38*FoodTipPercentage,OR(AH38="Expo",AH38="Food Runner"),HLOOKUP(AG38,SatFoodTable,5)*AB38,AH38="Host",0),"")</f>
        <v/>
      </c>
      <c r="AM38" s="7" t="str" cm="1">
        <f t="array" ref="AM38">IFERROR(_xlfn.IFS(HLOOKUP(AG38,SatHostTable,2)=0,0,OR(AH38="Server",AH38="Bartender"),-AF38*HostTipPercentage,AH38="Host",HLOOKUP(AG38,SatHostTable,5)*AB38,OR(AH38="Expo",AH38="Food Runner"),0),"")</f>
        <v/>
      </c>
      <c r="AN38" s="18" t="s">
        <v>62</v>
      </c>
      <c r="AO38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23</v>
      </c>
      <c r="AP38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287.12</v>
      </c>
      <c r="AQ38" s="7">
        <f ca="1">IFERROR(Table4247891011121314182123252723[[#This Row],[Weekly Tips]]/Table4247891011121314182123252723[[#This Row],[Hours]],0)</f>
        <v>12.483478260869566</v>
      </c>
      <c r="AR38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900</v>
      </c>
      <c r="AS38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500</v>
      </c>
      <c r="AT38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1400</v>
      </c>
    </row>
    <row r="39" spans="1:47" ht="16" x14ac:dyDescent="0.2">
      <c r="A39" s="11"/>
      <c r="B39" s="12"/>
      <c r="C39" s="11"/>
      <c r="D39" s="11"/>
      <c r="E39" s="11"/>
      <c r="F39" s="37">
        <f t="shared" si="217"/>
        <v>0</v>
      </c>
      <c r="G39" s="11"/>
      <c r="H39" s="11"/>
      <c r="I39" s="2">
        <f t="shared" ref="I39" si="301">IF(H39="Bartender",(HLOOKUP(G39,TuesFoodTable,6)*B39)+(HLOOKUP(G39,TuesHostTable,6)*B39)+K39,SUM(K39,L39,M39))</f>
        <v>0</v>
      </c>
      <c r="J39" s="37">
        <f t="shared" ref="J39" si="302">IFERROR(IF(H39="Bartender",(HLOOKUP(G39,TuesBarTable,6)*B39)+I39,C39+I39),"")</f>
        <v>0</v>
      </c>
      <c r="K39" s="7">
        <f t="shared" ref="K39" si="303">IF(H39="Server",-E39*AlcoholTipPercentage,0)+IF(H39="Bartender",HLOOKUP(G39,TuesBarTable,5)*B39)</f>
        <v>0</v>
      </c>
      <c r="L39" s="7" t="str" cm="1">
        <f t="array" ref="L39">IFERROR(_xlfn.IFS(HLOOKUP(G39,TuesFoodTable,2)=0,0,OR(H39="Server",H39="Bartender"),-D39*FoodTipPercentage,OR(H39="Expo",H39="Food Runner"),HLOOKUP(G39,TuesFoodTable,5)*B39,H39="Host",0),"")</f>
        <v/>
      </c>
      <c r="M39" s="7" t="str" cm="1">
        <f t="array" ref="M39">IFERROR(_xlfn.IFS(HLOOKUP(G39,TuesHostTable,2)=0,0,OR(H39="Server",H39="Bartender"),-F39*HostTipPercentage,H39="Host",HLOOKUP(G39,TuesHostTable,5)*B39,OR(H39="Expo",H39="Food Runner"),0),"")</f>
        <v/>
      </c>
      <c r="N39" s="16"/>
      <c r="O39" s="17"/>
      <c r="P39" s="16"/>
      <c r="Q39" s="16"/>
      <c r="R39" s="16"/>
      <c r="S39" s="42">
        <f t="shared" si="221"/>
        <v>0</v>
      </c>
      <c r="T39" s="16"/>
      <c r="U39" s="16"/>
      <c r="V39" s="42">
        <f t="shared" ref="V39" si="304">IF(U39="Bartender",(HLOOKUP(T39,ThursFoodTable,6)*O39)+(HLOOKUP(T39,ThursHostTable,6)*O39)+X39,SUM(X39,Y39,Z39))</f>
        <v>0</v>
      </c>
      <c r="W39" s="42">
        <f t="shared" ref="W39" si="305">IFERROR(IF(U39="Bartender",(HLOOKUP(T39,ThursBarTable,6)*O39)+V39,P39+V39),"")</f>
        <v>0</v>
      </c>
      <c r="X39" s="7">
        <f t="shared" ref="X39" si="306">IF(U39="Server",-R39*AlcoholTipPercentage,0)+IF(U39="Bartender",HLOOKUP(T39,ThursBarTable,5)*O39)</f>
        <v>0</v>
      </c>
      <c r="Y39" s="7" t="str" cm="1">
        <f t="array" ref="Y39">IFERROR(_xlfn.IFS(HLOOKUP(T39,ThursFoodTable,2)=0,0,OR(U39="Server",U39="Bartender"),-Q39*FoodTipPercentage,OR(U39="Expo",U39="Food Runner"),HLOOKUP(T39,ThursFoodTable,5)*O39,U39="Host",0),"")</f>
        <v/>
      </c>
      <c r="Z39" s="7" t="str" cm="1">
        <f t="array" ref="Z39">IFERROR(_xlfn.IFS(HLOOKUP(T39,ThursHostTable,2)=0,0,OR(U39="Server",U39="Bartender"),-S39*HostTipPercentage,U39="Host",HLOOKUP(T39,ThursHostTable,5)*O39,OR(U39="Expo",U39="Food Runner"),0),"")</f>
        <v/>
      </c>
      <c r="AA39" s="9"/>
      <c r="AB39" s="10"/>
      <c r="AC39" s="9"/>
      <c r="AD39" s="9"/>
      <c r="AE39" s="9"/>
      <c r="AF39" s="38">
        <f t="shared" si="225"/>
        <v>0</v>
      </c>
      <c r="AG39" s="9"/>
      <c r="AH39" s="9"/>
      <c r="AI39" s="38">
        <f t="shared" ref="AI39" si="307">IF(AH39="Bartender",(HLOOKUP(AG39,SatFoodTable,6)*AB39)+(HLOOKUP(AG39,SatHostTable,6)*AB39)+AK39,SUM(AK39,AL39,AM39))</f>
        <v>0</v>
      </c>
      <c r="AJ39" s="38">
        <f t="shared" ref="AJ39" si="308">IFERROR(IF(AH39="Bartender",(HLOOKUP(AG39,SatBarTable,6)*AB39)+AI39,AC39+AI39),"")</f>
        <v>0</v>
      </c>
      <c r="AK39" s="7">
        <f t="shared" ref="AK39" si="309">IF(AH39="Server",-AE39*AlcoholTipPercentage,0)+IF(AH39="Bartender",HLOOKUP(AG39,SatBarTable,5)*AB39)</f>
        <v>0</v>
      </c>
      <c r="AL39" s="7" t="str" cm="1">
        <f t="array" ref="AL39">IFERROR(_xlfn.IFS(HLOOKUP(AG39,SatFoodTable,2)=0,0,OR(AH39="Server",AH39="Bartender"),-AD39*FoodTipPercentage,OR(AH39="Expo",AH39="Food Runner"),HLOOKUP(AG39,SatFoodTable,5)*AB39,AH39="Host",0),"")</f>
        <v/>
      </c>
      <c r="AM39" s="7" t="str" cm="1">
        <f t="array" ref="AM39">IFERROR(_xlfn.IFS(HLOOKUP(AG39,SatHostTable,2)=0,0,OR(AH39="Server",AH39="Bartender"),-AF39*HostTipPercentage,AH39="Host",HLOOKUP(AG39,SatHostTable,5)*AB39,OR(AH39="Expo",AH39="Food Runner"),0),"")</f>
        <v/>
      </c>
      <c r="AN39" s="18" t="s">
        <v>65</v>
      </c>
      <c r="AO39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16</v>
      </c>
      <c r="AP39" s="20">
        <f ca="1"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131.88</v>
      </c>
      <c r="AQ39" s="7">
        <f ca="1">IFERROR(Table4247891011121314182123252723[[#This Row],[Weekly Tips]]/Table4247891011121314182123252723[[#This Row],[Hours]],0)</f>
        <v>8.2424999999999997</v>
      </c>
      <c r="AR39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39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39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  <c r="AU39" s="7" t="s">
        <v>33</v>
      </c>
    </row>
    <row r="40" spans="1:47" ht="16" x14ac:dyDescent="0.2">
      <c r="A40" s="11"/>
      <c r="B40" s="12"/>
      <c r="C40" s="11"/>
      <c r="D40" s="11"/>
      <c r="E40" s="11"/>
      <c r="F40" s="37">
        <f t="shared" si="217"/>
        <v>0</v>
      </c>
      <c r="G40" s="11"/>
      <c r="H40" s="11"/>
      <c r="I40" s="2">
        <f t="shared" ref="I40" si="310">IF(H40="Bartender",(HLOOKUP(G40,TuesFoodTable,6)*B40)+(HLOOKUP(G40,TuesHostTable,6)*B40)+K40,SUM(K40,L40,M40))</f>
        <v>0</v>
      </c>
      <c r="J40" s="37">
        <f t="shared" ref="J40" si="311">IFERROR(IF(H40="Bartender",(HLOOKUP(G40,TuesBarTable,6)*B40)+I40,C40+I40),"")</f>
        <v>0</v>
      </c>
      <c r="K40" s="7">
        <f t="shared" ref="K40" si="312">IF(H40="Server",-E40*AlcoholTipPercentage,0)+IF(H40="Bartender",HLOOKUP(G40,TuesBarTable,5)*B40)</f>
        <v>0</v>
      </c>
      <c r="L40" s="7" t="str" cm="1">
        <f t="array" ref="L40">IFERROR(_xlfn.IFS(HLOOKUP(G40,TuesFoodTable,2)=0,0,OR(H40="Server",H40="Bartender"),-D40*FoodTipPercentage,OR(H40="Expo",H40="Food Runner"),HLOOKUP(G40,TuesFoodTable,5)*B40,H40="Host",0),"")</f>
        <v/>
      </c>
      <c r="M40" s="7" t="str" cm="1">
        <f t="array" ref="M40">IFERROR(_xlfn.IFS(HLOOKUP(G40,TuesHostTable,2)=0,0,OR(H40="Server",H40="Bartender"),-F40*HostTipPercentage,H40="Host",HLOOKUP(G40,TuesHostTable,5)*B40,OR(H40="Expo",H40="Food Runner"),0),"")</f>
        <v/>
      </c>
      <c r="N40" s="16"/>
      <c r="O40" s="17"/>
      <c r="P40" s="16"/>
      <c r="Q40" s="16"/>
      <c r="R40" s="16"/>
      <c r="S40" s="42">
        <f t="shared" si="221"/>
        <v>0</v>
      </c>
      <c r="T40" s="16"/>
      <c r="U40" s="16"/>
      <c r="V40" s="42">
        <f t="shared" ref="V40" si="313">IF(U40="Bartender",(HLOOKUP(T40,ThursFoodTable,6)*O40)+(HLOOKUP(T40,ThursHostTable,6)*O40)+X40,SUM(X40,Y40,Z40))</f>
        <v>0</v>
      </c>
      <c r="W40" s="42">
        <f t="shared" ref="W40" si="314">IFERROR(IF(U40="Bartender",(HLOOKUP(T40,ThursBarTable,6)*O40)+V40,P40+V40),"")</f>
        <v>0</v>
      </c>
      <c r="X40" s="7">
        <f t="shared" ref="X40" si="315">IF(U40="Server",-R40*AlcoholTipPercentage,0)+IF(U40="Bartender",HLOOKUP(T40,ThursBarTable,5)*O40)</f>
        <v>0</v>
      </c>
      <c r="Y40" s="7" t="str" cm="1">
        <f t="array" ref="Y40">IFERROR(_xlfn.IFS(HLOOKUP(T40,ThursFoodTable,2)=0,0,OR(U40="Server",U40="Bartender"),-Q40*FoodTipPercentage,OR(U40="Expo",U40="Food Runner"),HLOOKUP(T40,ThursFoodTable,5)*O40,U40="Host",0),"")</f>
        <v/>
      </c>
      <c r="Z40" s="7" t="str" cm="1">
        <f t="array" ref="Z40">IFERROR(_xlfn.IFS(HLOOKUP(T40,ThursHostTable,2)=0,0,OR(U40="Server",U40="Bartender"),-S40*HostTipPercentage,U40="Host",HLOOKUP(T40,ThursHostTable,5)*O40,OR(U40="Expo",U40="Food Runner"),0),"")</f>
        <v/>
      </c>
      <c r="AA40" s="9"/>
      <c r="AB40" s="10"/>
      <c r="AC40" s="9"/>
      <c r="AD40" s="9"/>
      <c r="AE40" s="9"/>
      <c r="AF40" s="38">
        <f t="shared" si="225"/>
        <v>0</v>
      </c>
      <c r="AG40" s="9"/>
      <c r="AH40" s="9"/>
      <c r="AI40" s="38">
        <f t="shared" ref="AI40" si="316">IF(AH40="Bartender",(HLOOKUP(AG40,SatFoodTable,6)*AB40)+(HLOOKUP(AG40,SatHostTable,6)*AB40)+AK40,SUM(AK40,AL40,AM40))</f>
        <v>0</v>
      </c>
      <c r="AJ40" s="38">
        <f t="shared" ref="AJ40" si="317">IFERROR(IF(AH40="Bartender",(HLOOKUP(AG40,SatBarTable,6)*AB40)+AI40,AC40+AI40),"")</f>
        <v>0</v>
      </c>
      <c r="AK40" s="7">
        <f t="shared" ref="AK40" si="318">IF(AH40="Server",-AE40*AlcoholTipPercentage,0)+IF(AH40="Bartender",HLOOKUP(AG40,SatBarTable,5)*AB40)</f>
        <v>0</v>
      </c>
      <c r="AL40" s="7" t="str" cm="1">
        <f t="array" ref="AL40">IFERROR(_xlfn.IFS(HLOOKUP(AG40,SatFoodTable,2)=0,0,OR(AH40="Server",AH40="Bartender"),-AD40*FoodTipPercentage,OR(AH40="Expo",AH40="Food Runner"),HLOOKUP(AG40,SatFoodTable,5)*AB40,AH40="Host",0),"")</f>
        <v/>
      </c>
      <c r="AM40" s="7" t="str" cm="1">
        <f t="array" ref="AM40">IFERROR(_xlfn.IFS(HLOOKUP(AG40,SatHostTable,2)=0,0,OR(AH40="Server",AH40="Bartender"),-AF40*HostTipPercentage,AH40="Host",HLOOKUP(AG40,SatHostTable,5)*AB40,OR(AH40="Expo",AH40="Food Runner"),0),"")</f>
        <v/>
      </c>
      <c r="AN40" s="18"/>
      <c r="AO40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0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0" s="7">
        <f>IFERROR(Table4247891011121314182123252723[[#This Row],[Weekly Tips]]/Table4247891011121314182123252723[[#This Row],[Hours]],0)</f>
        <v>0</v>
      </c>
      <c r="AR40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0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0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1" spans="1:47" ht="16" x14ac:dyDescent="0.2">
      <c r="A41" s="11"/>
      <c r="B41" s="12"/>
      <c r="C41" s="11"/>
      <c r="D41" s="11"/>
      <c r="E41" s="11"/>
      <c r="F41" s="37">
        <f t="shared" si="217"/>
        <v>0</v>
      </c>
      <c r="G41" s="11"/>
      <c r="H41" s="11"/>
      <c r="I41" s="2">
        <f t="shared" ref="I41" si="319">IF(H41="Bartender",(HLOOKUP(G41,TuesFoodTable,6)*B41)+(HLOOKUP(G41,TuesHostTable,6)*B41)+K41,SUM(K41,L41,M41))</f>
        <v>0</v>
      </c>
      <c r="J41" s="37">
        <f t="shared" ref="J41" si="320">IFERROR(IF(H41="Bartender",(HLOOKUP(G41,TuesBarTable,6)*B41)+I41,C41+I41),"")</f>
        <v>0</v>
      </c>
      <c r="K41" s="7">
        <f t="shared" ref="K41" si="321">IF(H41="Server",-E41*AlcoholTipPercentage,0)+IF(H41="Bartender",HLOOKUP(G41,TuesBarTable,5)*B41)</f>
        <v>0</v>
      </c>
      <c r="L41" s="7" t="str" cm="1">
        <f t="array" ref="L41">IFERROR(_xlfn.IFS(HLOOKUP(G41,TuesFoodTable,2)=0,0,OR(H41="Server",H41="Bartender"),-D41*FoodTipPercentage,OR(H41="Expo",H41="Food Runner"),HLOOKUP(G41,TuesFoodTable,5)*B41,H41="Host",0),"")</f>
        <v/>
      </c>
      <c r="M41" s="7" t="str" cm="1">
        <f t="array" ref="M41">IFERROR(_xlfn.IFS(HLOOKUP(G41,TuesHostTable,2)=0,0,OR(H41="Server",H41="Bartender"),-F41*HostTipPercentage,H41="Host",HLOOKUP(G41,TuesHostTable,5)*B41,OR(H41="Expo",H41="Food Runner"),0),"")</f>
        <v/>
      </c>
      <c r="N41" s="16"/>
      <c r="O41" s="17"/>
      <c r="P41" s="16"/>
      <c r="Q41" s="16"/>
      <c r="R41" s="16"/>
      <c r="S41" s="42">
        <f t="shared" si="221"/>
        <v>0</v>
      </c>
      <c r="T41" s="16"/>
      <c r="U41" s="16"/>
      <c r="V41" s="42">
        <f t="shared" ref="V41" si="322">IF(U41="Bartender",(HLOOKUP(T41,ThursFoodTable,6)*O41)+(HLOOKUP(T41,ThursHostTable,6)*O41)+X41,SUM(X41,Y41,Z41))</f>
        <v>0</v>
      </c>
      <c r="W41" s="42">
        <f t="shared" ref="W41" si="323">IFERROR(IF(U41="Bartender",(HLOOKUP(T41,ThursBarTable,6)*O41)+V41,P41+V41),"")</f>
        <v>0</v>
      </c>
      <c r="X41" s="7">
        <f t="shared" ref="X41" si="324">IF(U41="Server",-R41*AlcoholTipPercentage,0)+IF(U41="Bartender",HLOOKUP(T41,ThursBarTable,5)*O41)</f>
        <v>0</v>
      </c>
      <c r="Y41" s="7" t="str" cm="1">
        <f t="array" ref="Y41">IFERROR(_xlfn.IFS(HLOOKUP(T41,ThursFoodTable,2)=0,0,OR(U41="Server",U41="Bartender"),-Q41*FoodTipPercentage,OR(U41="Expo",U41="Food Runner"),HLOOKUP(T41,ThursFoodTable,5)*O41,U41="Host",0),"")</f>
        <v/>
      </c>
      <c r="Z41" s="7" t="str" cm="1">
        <f t="array" ref="Z41">IFERROR(_xlfn.IFS(HLOOKUP(T41,ThursHostTable,2)=0,0,OR(U41="Server",U41="Bartender"),-S41*HostTipPercentage,U41="Host",HLOOKUP(T41,ThursHostTable,5)*O41,OR(U41="Expo",U41="Food Runner"),0),"")</f>
        <v/>
      </c>
      <c r="AA41" s="9"/>
      <c r="AB41" s="10"/>
      <c r="AC41" s="9"/>
      <c r="AD41" s="9"/>
      <c r="AE41" s="9"/>
      <c r="AF41" s="38">
        <f t="shared" si="225"/>
        <v>0</v>
      </c>
      <c r="AG41" s="9"/>
      <c r="AH41" s="9"/>
      <c r="AI41" s="38">
        <f t="shared" ref="AI41" si="325">IF(AH41="Bartender",(HLOOKUP(AG41,SatFoodTable,6)*AB41)+(HLOOKUP(AG41,SatHostTable,6)*AB41)+AK41,SUM(AK41,AL41,AM41))</f>
        <v>0</v>
      </c>
      <c r="AJ41" s="38">
        <f t="shared" ref="AJ41" si="326">IFERROR(IF(AH41="Bartender",(HLOOKUP(AG41,SatBarTable,6)*AB41)+AI41,AC41+AI41),"")</f>
        <v>0</v>
      </c>
      <c r="AK41" s="7">
        <f t="shared" ref="AK41" si="327">IF(AH41="Server",-AE41*AlcoholTipPercentage,0)+IF(AH41="Bartender",HLOOKUP(AG41,SatBarTable,5)*AB41)</f>
        <v>0</v>
      </c>
      <c r="AL41" s="7" t="str" cm="1">
        <f t="array" ref="AL41">IFERROR(_xlfn.IFS(HLOOKUP(AG41,SatFoodTable,2)=0,0,OR(AH41="Server",AH41="Bartender"),-AD41*FoodTipPercentage,OR(AH41="Expo",AH41="Food Runner"),HLOOKUP(AG41,SatFoodTable,5)*AB41,AH41="Host",0),"")</f>
        <v/>
      </c>
      <c r="AM41" s="7" t="str" cm="1">
        <f t="array" ref="AM41">IFERROR(_xlfn.IFS(HLOOKUP(AG41,SatHostTable,2)=0,0,OR(AH41="Server",AH41="Bartender"),-AF41*HostTipPercentage,AH41="Host",HLOOKUP(AG41,SatHostTable,5)*AB41,OR(AH41="Expo",AH41="Food Runner"),0),"")</f>
        <v/>
      </c>
      <c r="AN41" s="18"/>
      <c r="AO41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1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1" s="7">
        <f>IFERROR(Table4247891011121314182123252723[[#This Row],[Weekly Tips]]/Table4247891011121314182123252723[[#This Row],[Hours]],0)</f>
        <v>0</v>
      </c>
      <c r="AR41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1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1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2" spans="1:47" ht="16" x14ac:dyDescent="0.2">
      <c r="A42" s="11"/>
      <c r="B42" s="12"/>
      <c r="C42" s="11"/>
      <c r="D42" s="11"/>
      <c r="E42" s="11"/>
      <c r="F42" s="37">
        <f t="shared" si="217"/>
        <v>0</v>
      </c>
      <c r="G42" s="11"/>
      <c r="H42" s="11"/>
      <c r="I42" s="2">
        <f t="shared" ref="I42" si="328">IF(H42="Bartender",(HLOOKUP(G42,TuesFoodTable,6)*B42)+(HLOOKUP(G42,TuesHostTable,6)*B42)+K42,SUM(K42,L42,M42))</f>
        <v>0</v>
      </c>
      <c r="J42" s="37">
        <f t="shared" ref="J42" si="329">IFERROR(IF(H42="Bartender",(HLOOKUP(G42,TuesBarTable,6)*B42)+I42,C42+I42),"")</f>
        <v>0</v>
      </c>
      <c r="K42" s="7">
        <f t="shared" ref="K42" si="330">IF(H42="Server",-E42*AlcoholTipPercentage,0)+IF(H42="Bartender",HLOOKUP(G42,TuesBarTable,5)*B42)</f>
        <v>0</v>
      </c>
      <c r="L42" s="7" t="str" cm="1">
        <f t="array" ref="L42">IFERROR(_xlfn.IFS(HLOOKUP(G42,TuesFoodTable,2)=0,0,OR(H42="Server",H42="Bartender"),-D42*FoodTipPercentage,OR(H42="Expo",H42="Food Runner"),HLOOKUP(G42,TuesFoodTable,5)*B42,H42="Host",0),"")</f>
        <v/>
      </c>
      <c r="M42" s="7" t="str" cm="1">
        <f t="array" ref="M42">IFERROR(_xlfn.IFS(HLOOKUP(G42,TuesHostTable,2)=0,0,OR(H42="Server",H42="Bartender"),-F42*HostTipPercentage,H42="Host",HLOOKUP(G42,TuesHostTable,5)*B42,OR(H42="Expo",H42="Food Runner"),0),"")</f>
        <v/>
      </c>
      <c r="N42" s="16"/>
      <c r="O42" s="17"/>
      <c r="P42" s="16"/>
      <c r="Q42" s="16"/>
      <c r="R42" s="16"/>
      <c r="S42" s="42">
        <f t="shared" si="221"/>
        <v>0</v>
      </c>
      <c r="T42" s="16"/>
      <c r="U42" s="16"/>
      <c r="V42" s="42">
        <f t="shared" ref="V42" si="331">IF(U42="Bartender",(HLOOKUP(T42,ThursFoodTable,6)*O42)+(HLOOKUP(T42,ThursHostTable,6)*O42)+X42,SUM(X42,Y42,Z42))</f>
        <v>0</v>
      </c>
      <c r="W42" s="42">
        <f t="shared" ref="W42" si="332">IFERROR(IF(U42="Bartender",(HLOOKUP(T42,ThursBarTable,6)*O42)+V42,P42+V42),"")</f>
        <v>0</v>
      </c>
      <c r="X42" s="7">
        <f t="shared" ref="X42" si="333">IF(U42="Server",-R42*AlcoholTipPercentage,0)+IF(U42="Bartender",HLOOKUP(T42,ThursBarTable,5)*O42)</f>
        <v>0</v>
      </c>
      <c r="Y42" s="7" t="str" cm="1">
        <f t="array" ref="Y42">IFERROR(_xlfn.IFS(HLOOKUP(T42,ThursFoodTable,2)=0,0,OR(U42="Server",U42="Bartender"),-Q42*FoodTipPercentage,OR(U42="Expo",U42="Food Runner"),HLOOKUP(T42,ThursFoodTable,5)*O42,U42="Host",0),"")</f>
        <v/>
      </c>
      <c r="Z42" s="7" t="str" cm="1">
        <f t="array" ref="Z42">IFERROR(_xlfn.IFS(HLOOKUP(T42,ThursHostTable,2)=0,0,OR(U42="Server",U42="Bartender"),-S42*HostTipPercentage,U42="Host",HLOOKUP(T42,ThursHostTable,5)*O42,OR(U42="Expo",U42="Food Runner"),0),"")</f>
        <v/>
      </c>
      <c r="AA42" s="9"/>
      <c r="AB42" s="10"/>
      <c r="AC42" s="9"/>
      <c r="AD42" s="9"/>
      <c r="AE42" s="9"/>
      <c r="AF42" s="38">
        <f t="shared" si="225"/>
        <v>0</v>
      </c>
      <c r="AG42" s="9"/>
      <c r="AH42" s="9"/>
      <c r="AI42" s="38">
        <f t="shared" ref="AI42" si="334">IF(AH42="Bartender",(HLOOKUP(AG42,SatFoodTable,6)*AB42)+(HLOOKUP(AG42,SatHostTable,6)*AB42)+AK42,SUM(AK42,AL42,AM42))</f>
        <v>0</v>
      </c>
      <c r="AJ42" s="38">
        <f t="shared" ref="AJ42" si="335">IFERROR(IF(AH42="Bartender",(HLOOKUP(AG42,SatBarTable,6)*AB42)+AI42,AC42+AI42),"")</f>
        <v>0</v>
      </c>
      <c r="AK42" s="7">
        <f t="shared" ref="AK42" si="336">IF(AH42="Server",-AE42*AlcoholTipPercentage,0)+IF(AH42="Bartender",HLOOKUP(AG42,SatBarTable,5)*AB42)</f>
        <v>0</v>
      </c>
      <c r="AL42" s="7" t="str" cm="1">
        <f t="array" ref="AL42">IFERROR(_xlfn.IFS(HLOOKUP(AG42,SatFoodTable,2)=0,0,OR(AH42="Server",AH42="Bartender"),-AD42*FoodTipPercentage,OR(AH42="Expo",AH42="Food Runner"),HLOOKUP(AG42,SatFoodTable,5)*AB42,AH42="Host",0),"")</f>
        <v/>
      </c>
      <c r="AM42" s="7" t="str" cm="1">
        <f t="array" ref="AM42">IFERROR(_xlfn.IFS(HLOOKUP(AG42,SatHostTable,2)=0,0,OR(AH42="Server",AH42="Bartender"),-AF42*HostTipPercentage,AH42="Host",HLOOKUP(AG42,SatHostTable,5)*AB42,OR(AH42="Expo",AH42="Food Runner"),0),"")</f>
        <v/>
      </c>
      <c r="AN42" s="18"/>
      <c r="AO42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2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2" s="7">
        <f>IFERROR(Table4247891011121314182123252723[[#This Row],[Weekly Tips]]/Table4247891011121314182123252723[[#This Row],[Hours]],0)</f>
        <v>0</v>
      </c>
      <c r="AR42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2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2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3" spans="1:47" ht="16" x14ac:dyDescent="0.2">
      <c r="A43" s="11"/>
      <c r="B43" s="12"/>
      <c r="C43" s="11"/>
      <c r="D43" s="11"/>
      <c r="E43" s="11"/>
      <c r="F43" s="37">
        <f t="shared" si="217"/>
        <v>0</v>
      </c>
      <c r="G43" s="11"/>
      <c r="H43" s="11"/>
      <c r="I43" s="2">
        <f t="shared" ref="I43" si="337">IF(H43="Bartender",(HLOOKUP(G43,TuesFoodTable,6)*B43)+(HLOOKUP(G43,TuesHostTable,6)*B43)+K43,SUM(K43,L43,M43))</f>
        <v>0</v>
      </c>
      <c r="J43" s="37">
        <f t="shared" ref="J43" si="338">IFERROR(IF(H43="Bartender",(HLOOKUP(G43,TuesBarTable,6)*B43)+I43,C43+I43),"")</f>
        <v>0</v>
      </c>
      <c r="K43" s="7">
        <f t="shared" ref="K43" si="339">IF(H43="Server",-E43*AlcoholTipPercentage,0)+IF(H43="Bartender",HLOOKUP(G43,TuesBarTable,5)*B43)</f>
        <v>0</v>
      </c>
      <c r="L43" s="7" t="str" cm="1">
        <f t="array" ref="L43">IFERROR(_xlfn.IFS(HLOOKUP(G43,TuesFoodTable,2)=0,0,OR(H43="Server",H43="Bartender"),-D43*FoodTipPercentage,OR(H43="Expo",H43="Food Runner"),HLOOKUP(G43,TuesFoodTable,5)*B43,H43="Host",0),"")</f>
        <v/>
      </c>
      <c r="M43" s="7" t="str" cm="1">
        <f t="array" ref="M43">IFERROR(_xlfn.IFS(HLOOKUP(G43,TuesHostTable,2)=0,0,OR(H43="Server",H43="Bartender"),-F43*HostTipPercentage,H43="Host",HLOOKUP(G43,TuesHostTable,5)*B43,OR(H43="Expo",H43="Food Runner"),0),"")</f>
        <v/>
      </c>
      <c r="N43" s="16"/>
      <c r="O43" s="17"/>
      <c r="P43" s="16"/>
      <c r="Q43" s="16"/>
      <c r="R43" s="16"/>
      <c r="S43" s="42">
        <f t="shared" si="221"/>
        <v>0</v>
      </c>
      <c r="T43" s="16"/>
      <c r="U43" s="16"/>
      <c r="V43" s="42">
        <f t="shared" ref="V43" si="340">IF(U43="Bartender",(HLOOKUP(T43,ThursFoodTable,6)*O43)+(HLOOKUP(T43,ThursHostTable,6)*O43)+X43,SUM(X43,Y43,Z43))</f>
        <v>0</v>
      </c>
      <c r="W43" s="42">
        <f t="shared" ref="W43" si="341">IFERROR(IF(U43="Bartender",(HLOOKUP(T43,ThursBarTable,6)*O43)+V43,P43+V43),"")</f>
        <v>0</v>
      </c>
      <c r="X43" s="7">
        <f t="shared" ref="X43" si="342">IF(U43="Server",-R43*AlcoholTipPercentage,0)+IF(U43="Bartender",HLOOKUP(T43,ThursBarTable,5)*O43)</f>
        <v>0</v>
      </c>
      <c r="Y43" s="7" t="str" cm="1">
        <f t="array" ref="Y43">IFERROR(_xlfn.IFS(HLOOKUP(T43,ThursFoodTable,2)=0,0,OR(U43="Server",U43="Bartender"),-Q43*FoodTipPercentage,OR(U43="Expo",U43="Food Runner"),HLOOKUP(T43,ThursFoodTable,5)*O43,U43="Host",0),"")</f>
        <v/>
      </c>
      <c r="Z43" s="7" t="str" cm="1">
        <f t="array" ref="Z43">IFERROR(_xlfn.IFS(HLOOKUP(T43,ThursHostTable,2)=0,0,OR(U43="Server",U43="Bartender"),-S43*HostTipPercentage,U43="Host",HLOOKUP(T43,ThursHostTable,5)*O43,OR(U43="Expo",U43="Food Runner"),0),"")</f>
        <v/>
      </c>
      <c r="AA43" s="9"/>
      <c r="AB43" s="10"/>
      <c r="AC43" s="9"/>
      <c r="AD43" s="9"/>
      <c r="AE43" s="9"/>
      <c r="AF43" s="38">
        <f t="shared" si="225"/>
        <v>0</v>
      </c>
      <c r="AG43" s="9"/>
      <c r="AH43" s="9"/>
      <c r="AI43" s="38">
        <f t="shared" ref="AI43" si="343">IF(AH43="Bartender",(HLOOKUP(AG43,SatFoodTable,6)*AB43)+(HLOOKUP(AG43,SatHostTable,6)*AB43)+AK43,SUM(AK43,AL43,AM43))</f>
        <v>0</v>
      </c>
      <c r="AJ43" s="38">
        <f t="shared" ref="AJ43" si="344">IFERROR(IF(AH43="Bartender",(HLOOKUP(AG43,SatBarTable,6)*AB43)+AI43,AC43+AI43),"")</f>
        <v>0</v>
      </c>
      <c r="AK43" s="7">
        <f t="shared" ref="AK43" si="345">IF(AH43="Server",-AE43*AlcoholTipPercentage,0)+IF(AH43="Bartender",HLOOKUP(AG43,SatBarTable,5)*AB43)</f>
        <v>0</v>
      </c>
      <c r="AL43" s="7" t="str" cm="1">
        <f t="array" ref="AL43">IFERROR(_xlfn.IFS(HLOOKUP(AG43,SatFoodTable,2)=0,0,OR(AH43="Server",AH43="Bartender"),-AD43*FoodTipPercentage,OR(AH43="Expo",AH43="Food Runner"),HLOOKUP(AG43,SatFoodTable,5)*AB43,AH43="Host",0),"")</f>
        <v/>
      </c>
      <c r="AM43" s="7" t="str" cm="1">
        <f t="array" ref="AM43">IFERROR(_xlfn.IFS(HLOOKUP(AG43,SatHostTable,2)=0,0,OR(AH43="Server",AH43="Bartender"),-AF43*HostTipPercentage,AH43="Host",HLOOKUP(AG43,SatHostTable,5)*AB43,OR(AH43="Expo",AH43="Food Runner"),0),"")</f>
        <v/>
      </c>
      <c r="AN43" s="18"/>
      <c r="AO43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3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3" s="7">
        <f>IFERROR(Table4247891011121314182123252723[[#This Row],[Weekly Tips]]/Table4247891011121314182123252723[[#This Row],[Hours]],0)</f>
        <v>0</v>
      </c>
      <c r="AR43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3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3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4" spans="1:47" ht="16" x14ac:dyDescent="0.2">
      <c r="A44" s="11"/>
      <c r="B44" s="12"/>
      <c r="C44" s="11"/>
      <c r="D44" s="11"/>
      <c r="E44" s="11"/>
      <c r="F44" s="37">
        <f t="shared" si="217"/>
        <v>0</v>
      </c>
      <c r="G44" s="11"/>
      <c r="H44" s="11"/>
      <c r="I44" s="2">
        <f t="shared" ref="I44" si="346">IF(H44="Bartender",(HLOOKUP(G44,TuesFoodTable,6)*B44)+(HLOOKUP(G44,TuesHostTable,6)*B44)+K44,SUM(K44,L44,M44))</f>
        <v>0</v>
      </c>
      <c r="J44" s="37">
        <f t="shared" ref="J44" si="347">IFERROR(IF(H44="Bartender",(HLOOKUP(G44,TuesBarTable,6)*B44)+I44,C44+I44),"")</f>
        <v>0</v>
      </c>
      <c r="K44" s="7">
        <f t="shared" ref="K44" si="348">IF(H44="Server",-E44*AlcoholTipPercentage,0)+IF(H44="Bartender",HLOOKUP(G44,TuesBarTable,5)*B44)</f>
        <v>0</v>
      </c>
      <c r="L44" s="7" t="str" cm="1">
        <f t="array" ref="L44">IFERROR(_xlfn.IFS(HLOOKUP(G44,TuesFoodTable,2)=0,0,OR(H44="Server",H44="Bartender"),-D44*FoodTipPercentage,OR(H44="Expo",H44="Food Runner"),HLOOKUP(G44,TuesFoodTable,5)*B44,H44="Host",0),"")</f>
        <v/>
      </c>
      <c r="M44" s="7" t="str" cm="1">
        <f t="array" ref="M44">IFERROR(_xlfn.IFS(HLOOKUP(G44,TuesHostTable,2)=0,0,OR(H44="Server",H44="Bartender"),-F44*HostTipPercentage,H44="Host",HLOOKUP(G44,TuesHostTable,5)*B44,OR(H44="Expo",H44="Food Runner"),0),"")</f>
        <v/>
      </c>
      <c r="N44" s="16"/>
      <c r="O44" s="17"/>
      <c r="P44" s="16"/>
      <c r="Q44" s="16"/>
      <c r="R44" s="16"/>
      <c r="S44" s="42">
        <f t="shared" si="221"/>
        <v>0</v>
      </c>
      <c r="T44" s="16"/>
      <c r="U44" s="16"/>
      <c r="V44" s="42">
        <f t="shared" ref="V44" si="349">IF(U44="Bartender",(HLOOKUP(T44,ThursFoodTable,6)*O44)+(HLOOKUP(T44,ThursHostTable,6)*O44)+X44,SUM(X44,Y44,Z44))</f>
        <v>0</v>
      </c>
      <c r="W44" s="42">
        <f t="shared" ref="W44" si="350">IFERROR(IF(U44="Bartender",(HLOOKUP(T44,ThursBarTable,6)*O44)+V44,P44+V44),"")</f>
        <v>0</v>
      </c>
      <c r="X44" s="7">
        <f t="shared" ref="X44" si="351">IF(U44="Server",-R44*AlcoholTipPercentage,0)+IF(U44="Bartender",HLOOKUP(T44,ThursBarTable,5)*O44)</f>
        <v>0</v>
      </c>
      <c r="Y44" s="7" t="str" cm="1">
        <f t="array" ref="Y44">IFERROR(_xlfn.IFS(HLOOKUP(T44,ThursFoodTable,2)=0,0,OR(U44="Server",U44="Bartender"),-Q44*FoodTipPercentage,OR(U44="Expo",U44="Food Runner"),HLOOKUP(T44,ThursFoodTable,5)*O44,U44="Host",0),"")</f>
        <v/>
      </c>
      <c r="Z44" s="7" t="str" cm="1">
        <f t="array" ref="Z44">IFERROR(_xlfn.IFS(HLOOKUP(T44,ThursHostTable,2)=0,0,OR(U44="Server",U44="Bartender"),-S44*HostTipPercentage,U44="Host",HLOOKUP(T44,ThursHostTable,5)*O44,OR(U44="Expo",U44="Food Runner"),0),"")</f>
        <v/>
      </c>
      <c r="AA44" s="9"/>
      <c r="AB44" s="10"/>
      <c r="AC44" s="9"/>
      <c r="AD44" s="9"/>
      <c r="AE44" s="9"/>
      <c r="AF44" s="38">
        <f t="shared" si="225"/>
        <v>0</v>
      </c>
      <c r="AG44" s="9"/>
      <c r="AH44" s="9"/>
      <c r="AI44" s="38">
        <f t="shared" ref="AI44" si="352">IF(AH44="Bartender",(HLOOKUP(AG44,SatFoodTable,6)*AB44)+(HLOOKUP(AG44,SatHostTable,6)*AB44)+AK44,SUM(AK44,AL44,AM44))</f>
        <v>0</v>
      </c>
      <c r="AJ44" s="38">
        <f t="shared" ref="AJ44" si="353">IFERROR(IF(AH44="Bartender",(HLOOKUP(AG44,SatBarTable,6)*AB44)+AI44,AC44+AI44),"")</f>
        <v>0</v>
      </c>
      <c r="AK44" s="7">
        <f t="shared" ref="AK44" si="354">IF(AH44="Server",-AE44*AlcoholTipPercentage,0)+IF(AH44="Bartender",HLOOKUP(AG44,SatBarTable,5)*AB44)</f>
        <v>0</v>
      </c>
      <c r="AL44" s="7" t="str" cm="1">
        <f t="array" ref="AL44">IFERROR(_xlfn.IFS(HLOOKUP(AG44,SatFoodTable,2)=0,0,OR(AH44="Server",AH44="Bartender"),-AD44*FoodTipPercentage,OR(AH44="Expo",AH44="Food Runner"),HLOOKUP(AG44,SatFoodTable,5)*AB44,AH44="Host",0),"")</f>
        <v/>
      </c>
      <c r="AM44" s="7" t="str" cm="1">
        <f t="array" ref="AM44">IFERROR(_xlfn.IFS(HLOOKUP(AG44,SatHostTable,2)=0,0,OR(AH44="Server",AH44="Bartender"),-AF44*HostTipPercentage,AH44="Host",HLOOKUP(AG44,SatHostTable,5)*AB44,OR(AH44="Expo",AH44="Food Runner"),0),"")</f>
        <v/>
      </c>
      <c r="AN44" s="18"/>
      <c r="AO44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4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4" s="7">
        <f>IFERROR(Table4247891011121314182123252723[[#This Row],[Weekly Tips]]/Table4247891011121314182123252723[[#This Row],[Hours]],0)</f>
        <v>0</v>
      </c>
      <c r="AR44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4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4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5" spans="1:47" ht="16" x14ac:dyDescent="0.2">
      <c r="A45" s="11"/>
      <c r="B45" s="12"/>
      <c r="C45" s="11"/>
      <c r="D45" s="11"/>
      <c r="E45" s="11"/>
      <c r="F45" s="37">
        <f t="shared" si="217"/>
        <v>0</v>
      </c>
      <c r="G45" s="11"/>
      <c r="H45" s="11"/>
      <c r="I45" s="2">
        <f t="shared" ref="I45" si="355">IF(H45="Bartender",(HLOOKUP(G45,TuesFoodTable,6)*B45)+(HLOOKUP(G45,TuesHostTable,6)*B45)+K45,SUM(K45,L45,M45))</f>
        <v>0</v>
      </c>
      <c r="J45" s="37">
        <f t="shared" ref="J45" si="356">IFERROR(IF(H45="Bartender",(HLOOKUP(G45,TuesBarTable,6)*B45)+I45,C45+I45),"")</f>
        <v>0</v>
      </c>
      <c r="K45" s="7">
        <f t="shared" ref="K45" si="357">IF(H45="Server",-E45*AlcoholTipPercentage,0)+IF(H45="Bartender",HLOOKUP(G45,TuesBarTable,5)*B45)</f>
        <v>0</v>
      </c>
      <c r="L45" s="7" t="str" cm="1">
        <f t="array" ref="L45">IFERROR(_xlfn.IFS(HLOOKUP(G45,TuesFoodTable,2)=0,0,OR(H45="Server",H45="Bartender"),-D45*FoodTipPercentage,OR(H45="Expo",H45="Food Runner"),HLOOKUP(G45,TuesFoodTable,5)*B45,H45="Host",0),"")</f>
        <v/>
      </c>
      <c r="M45" s="7" t="str" cm="1">
        <f t="array" ref="M45">IFERROR(_xlfn.IFS(HLOOKUP(G45,TuesHostTable,2)=0,0,OR(H45="Server",H45="Bartender"),-F45*HostTipPercentage,H45="Host",HLOOKUP(G45,TuesHostTable,5)*B45,OR(H45="Expo",H45="Food Runner"),0),"")</f>
        <v/>
      </c>
      <c r="N45" s="16"/>
      <c r="O45" s="17"/>
      <c r="P45" s="16"/>
      <c r="Q45" s="16"/>
      <c r="R45" s="16"/>
      <c r="S45" s="42">
        <f t="shared" si="221"/>
        <v>0</v>
      </c>
      <c r="T45" s="16"/>
      <c r="U45" s="16"/>
      <c r="V45" s="42">
        <f t="shared" ref="V45" si="358">IF(U45="Bartender",(HLOOKUP(T45,ThursFoodTable,6)*O45)+(HLOOKUP(T45,ThursHostTable,6)*O45)+X45,SUM(X45,Y45,Z45))</f>
        <v>0</v>
      </c>
      <c r="W45" s="42">
        <f t="shared" ref="W45" si="359">IFERROR(IF(U45="Bartender",(HLOOKUP(T45,ThursBarTable,6)*O45)+V45,P45+V45),"")</f>
        <v>0</v>
      </c>
      <c r="X45" s="7">
        <f t="shared" ref="X45" si="360">IF(U45="Server",-R45*AlcoholTipPercentage,0)+IF(U45="Bartender",HLOOKUP(T45,ThursBarTable,5)*O45)</f>
        <v>0</v>
      </c>
      <c r="Y45" s="7" t="str" cm="1">
        <f t="array" ref="Y45">IFERROR(_xlfn.IFS(HLOOKUP(T45,ThursFoodTable,2)=0,0,OR(U45="Server",U45="Bartender"),-Q45*FoodTipPercentage,OR(U45="Expo",U45="Food Runner"),HLOOKUP(T45,ThursFoodTable,5)*O45,U45="Host",0),"")</f>
        <v/>
      </c>
      <c r="Z45" s="7" t="str" cm="1">
        <f t="array" ref="Z45">IFERROR(_xlfn.IFS(HLOOKUP(T45,ThursHostTable,2)=0,0,OR(U45="Server",U45="Bartender"),-S45*HostTipPercentage,U45="Host",HLOOKUP(T45,ThursHostTable,5)*O45,OR(U45="Expo",U45="Food Runner"),0),"")</f>
        <v/>
      </c>
      <c r="AA45" s="9"/>
      <c r="AB45" s="10"/>
      <c r="AC45" s="9"/>
      <c r="AD45" s="9"/>
      <c r="AE45" s="9"/>
      <c r="AF45" s="38">
        <f t="shared" si="225"/>
        <v>0</v>
      </c>
      <c r="AG45" s="9"/>
      <c r="AH45" s="9"/>
      <c r="AI45" s="38">
        <f t="shared" ref="AI45" si="361">IF(AH45="Bartender",(HLOOKUP(AG45,SatFoodTable,6)*AB45)+(HLOOKUP(AG45,SatHostTable,6)*AB45)+AK45,SUM(AK45,AL45,AM45))</f>
        <v>0</v>
      </c>
      <c r="AJ45" s="38">
        <f t="shared" ref="AJ45" si="362">IFERROR(IF(AH45="Bartender",(HLOOKUP(AG45,SatBarTable,6)*AB45)+AI45,AC45+AI45),"")</f>
        <v>0</v>
      </c>
      <c r="AK45" s="7">
        <f t="shared" ref="AK45" si="363">IF(AH45="Server",-AE45*AlcoholTipPercentage,0)+IF(AH45="Bartender",HLOOKUP(AG45,SatBarTable,5)*AB45)</f>
        <v>0</v>
      </c>
      <c r="AL45" s="7" t="str" cm="1">
        <f t="array" ref="AL45">IFERROR(_xlfn.IFS(HLOOKUP(AG45,SatFoodTable,2)=0,0,OR(AH45="Server",AH45="Bartender"),-AD45*FoodTipPercentage,OR(AH45="Expo",AH45="Food Runner"),HLOOKUP(AG45,SatFoodTable,5)*AB45,AH45="Host",0),"")</f>
        <v/>
      </c>
      <c r="AM45" s="7" t="str" cm="1">
        <f t="array" ref="AM45">IFERROR(_xlfn.IFS(HLOOKUP(AG45,SatHostTable,2)=0,0,OR(AH45="Server",AH45="Bartender"),-AF45*HostTipPercentage,AH45="Host",HLOOKUP(AG45,SatHostTable,5)*AB45,OR(AH45="Expo",AH45="Food Runner"),0),"")</f>
        <v/>
      </c>
      <c r="AN45" s="18"/>
      <c r="AO45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5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5" s="7">
        <f>IFERROR(Table4247891011121314182123252723[[#This Row],[Weekly Tips]]/Table4247891011121314182123252723[[#This Row],[Hours]],0)</f>
        <v>0</v>
      </c>
      <c r="AR45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5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5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6" spans="1:47" ht="16" x14ac:dyDescent="0.2">
      <c r="AK46" s="7">
        <f>SUM(AK29:AK45)</f>
        <v>0</v>
      </c>
      <c r="AL46" s="7">
        <f>SUM(AL29:AL45)</f>
        <v>0</v>
      </c>
      <c r="AM46" s="7">
        <f>SUM(AM29:AM45)</f>
        <v>0</v>
      </c>
      <c r="AN46" s="18"/>
      <c r="AO46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6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6" s="7">
        <f>IFERROR(Table4247891011121314182123252723[[#This Row],[Weekly Tips]]/Table4247891011121314182123252723[[#This Row],[Hours]],0)</f>
        <v>0</v>
      </c>
      <c r="AR46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6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6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7" spans="1:47" ht="16" x14ac:dyDescent="0.2">
      <c r="AN47" s="18"/>
      <c r="AO47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7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7" s="7">
        <f>IFERROR(Table4247891011121314182123252723[[#This Row],[Weekly Tips]]/Table4247891011121314182123252723[[#This Row],[Hours]],0)</f>
        <v>0</v>
      </c>
      <c r="AR47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7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7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8" spans="1:47" ht="16" x14ac:dyDescent="0.2">
      <c r="AN48" s="18"/>
      <c r="AO48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8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8" s="7">
        <f>IFERROR(Table4247891011121314182123252723[[#This Row],[Weekly Tips]]/Table4247891011121314182123252723[[#This Row],[Hours]],0)</f>
        <v>0</v>
      </c>
      <c r="AR48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8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8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49" spans="1:47" ht="16" x14ac:dyDescent="0.2">
      <c r="AN49" s="18"/>
      <c r="AO49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49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49" s="7">
        <f>IFERROR(Table4247891011121314182123252723[[#This Row],[Weekly Tips]]/Table4247891011121314182123252723[[#This Row],[Hours]],0)</f>
        <v>0</v>
      </c>
      <c r="AR49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49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49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0" spans="1:47" ht="16" x14ac:dyDescent="0.2">
      <c r="AN50" s="18"/>
      <c r="AO50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0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0" s="7">
        <f>IFERROR(Table4247891011121314182123252723[[#This Row],[Weekly Tips]]/Table4247891011121314182123252723[[#This Row],[Hours]],0)</f>
        <v>0</v>
      </c>
      <c r="AR50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0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0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1" spans="1:47" ht="16" x14ac:dyDescent="0.2">
      <c r="AN51" s="18"/>
      <c r="AO51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1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1" s="7">
        <f>IFERROR(Table4247891011121314182123252723[[#This Row],[Weekly Tips]]/Table4247891011121314182123252723[[#This Row],[Hours]],0)</f>
        <v>0</v>
      </c>
      <c r="AR51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1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1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2" spans="1:47" ht="16" x14ac:dyDescent="0.2">
      <c r="AN52" s="18"/>
      <c r="AO52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2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2" s="7">
        <f>IFERROR(Table4247891011121314182123252723[[#This Row],[Weekly Tips]]/Table4247891011121314182123252723[[#This Row],[Hours]],0)</f>
        <v>0</v>
      </c>
      <c r="AR52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2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2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3" spans="1:47" ht="16" x14ac:dyDescent="0.2">
      <c r="AN53" s="18"/>
      <c r="AO53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3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3" s="7">
        <f>IFERROR(Table4247891011121314182123252723[[#This Row],[Weekly Tips]]/Table4247891011121314182123252723[[#This Row],[Hours]],0)</f>
        <v>0</v>
      </c>
      <c r="AR53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3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3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4" spans="1:47" ht="16" x14ac:dyDescent="0.2">
      <c r="AN54" s="18"/>
      <c r="AO54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4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4" s="7">
        <f>IFERROR(Table4247891011121314182123252723[[#This Row],[Weekly Tips]]/Table4247891011121314182123252723[[#This Row],[Hours]],0)</f>
        <v>0</v>
      </c>
      <c r="AR54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4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4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5" spans="1:47" ht="16" x14ac:dyDescent="0.2">
      <c r="AN55" s="18"/>
      <c r="AO55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5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5" s="7">
        <f>IFERROR(Table4247891011121314182123252723[[#This Row],[Weekly Tips]]/Table4247891011121314182123252723[[#This Row],[Hours]],0)</f>
        <v>0</v>
      </c>
      <c r="AR55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5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5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6" spans="1:47" ht="16" x14ac:dyDescent="0.2">
      <c r="AN56" s="18"/>
      <c r="AO56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6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6" s="7">
        <f>IFERROR(Table4247891011121314182123252723[[#This Row],[Weekly Tips]]/Table4247891011121314182123252723[[#This Row],[Hours]],0)</f>
        <v>0</v>
      </c>
      <c r="AR56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6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6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7" spans="1:47" ht="16" x14ac:dyDescent="0.2">
      <c r="AN57" s="18"/>
      <c r="AO57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7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7" s="7">
        <f>IFERROR(Table4247891011121314182123252723[[#This Row],[Weekly Tips]]/Table4247891011121314182123252723[[#This Row],[Hours]],0)</f>
        <v>0</v>
      </c>
      <c r="AR57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7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7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8" spans="1:47" ht="16" x14ac:dyDescent="0.2">
      <c r="AN58" s="18"/>
      <c r="AO58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8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8" s="7">
        <f>IFERROR(Table4247891011121314182123252723[[#This Row],[Weekly Tips]]/Table4247891011121314182123252723[[#This Row],[Hours]],0)</f>
        <v>0</v>
      </c>
      <c r="AR58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8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8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59" spans="1:47" ht="15" customHeight="1" x14ac:dyDescent="0.2">
      <c r="AN59" s="18"/>
      <c r="AO59" s="19">
        <f>IFERROR(SUMIF(SunNames,Table4247891011121314182123252723[[#This Row],[Name]],SunHours)+SUMIF(MonNames,Table4247891011121314182123252723[[#This Row],[Name]],MonHours)+SUMIF(TuesNames,Table4247891011121314182123252723[[#This Row],[Name]],TuesHours)+SUMIF(WedNames,Table4247891011121314182123252723[[#This Row],[Name]],WedHours)+SUMIF(ThursNames,Table4247891011121314182123252723[[#This Row],[Name]],ThursHours)+SUMIF(FriNames,Table4247891011121314182123252723[[#This Row],[Name]],FriHours)+SUMIF(SatNames,Table4247891011121314182123252723[[#This Row],[Name]],SatHours),"")</f>
        <v>0</v>
      </c>
      <c r="AP59" s="20">
        <f>SUMIF(SunNames,Table4247891011121314182123252723[[#This Row],[Name]],SunTakeHome)+SUMIF(MonNames,Table4247891011121314182123252723[[#This Row],[Name]],MonTakeHome)+SUMIF(TuesNames,Table4247891011121314182123252723[[#This Row],[Name]],TuesTakeHome)+SUMIF(WedNames,Table4247891011121314182123252723[[#This Row],[Name]],WedTakeHome)+SUMIF(ThursNames,Table4247891011121314182123252723[[#This Row],[Name]],ThursTakeHome)+SUMIF(FriNames,Table4247891011121314182123252723[[#This Row],[Name]],FriTakeHome)+SUMIF(SatNames,Table4247891011121314182123252723[[#This Row],[Name]],SatTakeHome)</f>
        <v>0</v>
      </c>
      <c r="AQ59" s="7">
        <f>IFERROR(Table4247891011121314182123252723[[#This Row],[Weekly Tips]]/Table4247891011121314182123252723[[#This Row],[Hours]],0)</f>
        <v>0</v>
      </c>
      <c r="AR59" s="7">
        <f>SUMIF(SunNames,Table4247891011121314182123252723[[#This Row],[Name]],SunFood)+SUMIF(MonNames,Table4247891011121314182123252723[[#This Row],[Name]],MonFood)+SUMIF(TuesNames,Table4247891011121314182123252723[[#This Row],[Name]],TuesFood)+SUMIF(WedNames,Table4247891011121314182123252723[[#This Row],[Name]],WedFood)+SUMIF(ThursNames,Table4247891011121314182123252723[[#This Row],[Name]],ThursFood)+SUMIF(FriNames,Table4247891011121314182123252723[[#This Row],[Name]],FriFood)+SUMIF(SatNames,Table4247891011121314182123252723[[#This Row],[Name]],SatFood)</f>
        <v>0</v>
      </c>
      <c r="AS59" s="7">
        <f>SUMIF(SunNames,Table4247891011121314182123252723[[#This Row],[Name]],SunAlcohol)+SUMIF(MonNames,Table4247891011121314182123252723[[#This Row],[Name]],MonAlcohol)+SUMIF(TuesNames,Table4247891011121314182123252723[[#This Row],[Name]],TuesAlcohol)+SUMIF(WedNames,Table4247891011121314182123252723[[#This Row],[Name]],WedAlcohol)+SUMIF(ThursNames,Table4247891011121314182123252723[[#This Row],[Name]],ThursAlcohol)+SUMIF(FriNames,Table4247891011121314182123252723[[#This Row],[Name]],FriAlcohol)+SUMIF(SatNames,Table4247891011121314182123252723[[#This Row],[Name]],SatAlcohol)</f>
        <v>0</v>
      </c>
      <c r="AT59" s="7">
        <f>SUMIF(SunNames,Table4247891011121314182123252723[[#This Row],[Name]],SunTotal)+SUMIF(MonNames,Table4247891011121314182123252723[[#This Row],[Name]],MonTotal)+SUMIF(TuesNames,Table4247891011121314182123252723[[#This Row],[Name]],TuesTotal)+SUMIF(WedNames,Table4247891011121314182123252723[[#This Row],[Name]],WedTotal)+SUMIF(ThursNames,Table4247891011121314182123252723[[#This Row],[Name]],ThursTotal)+SUMIF(FriNames,Table4247891011121314182123252723[[#This Row],[Name]],FriTotal)+SUMIF(SatNames,Table4247891011121314182123252723[[#This Row],[Name]],SatTotal)</f>
        <v>0</v>
      </c>
    </row>
    <row r="60" spans="1:47" x14ac:dyDescent="0.2">
      <c r="AN60" s="21" t="s">
        <v>5</v>
      </c>
      <c r="AO60" s="22">
        <f>SUBTOTAL(109,Table4247891011121314182123252723[Hours])</f>
        <v>398</v>
      </c>
      <c r="AP60" s="23" t="s">
        <v>45</v>
      </c>
      <c r="AQ60" s="53">
        <f ca="1">SUBTOTAL(101,Table4247891011121314182123252723[Hourly])</f>
        <v>7.316533882323303</v>
      </c>
      <c r="AR60" s="53">
        <f>SUBTOTAL(109,Table4247891011121314182123252723[Food])</f>
        <v>31261.65</v>
      </c>
      <c r="AS60" s="53">
        <f>SUBTOTAL(109,Table4247891011121314182123252723[Alcohol])</f>
        <v>20374.66</v>
      </c>
      <c r="AT60" s="53">
        <f>SUBTOTAL(109,Table4247891011121314182123252723[Total])</f>
        <v>51636.310000000005</v>
      </c>
      <c r="AU60" s="21"/>
    </row>
    <row r="61" spans="1:47" hidden="1" x14ac:dyDescent="0.2">
      <c r="A61" s="7" t="s">
        <v>15</v>
      </c>
      <c r="B61" s="13" t="s">
        <v>15</v>
      </c>
      <c r="C61" s="7" t="s">
        <v>26</v>
      </c>
      <c r="D61" s="7" t="s">
        <v>33</v>
      </c>
      <c r="E61" s="7" t="s">
        <v>30</v>
      </c>
      <c r="I61" s="7" t="s">
        <v>34</v>
      </c>
      <c r="K61" s="7">
        <f>SUM(K29:K45)</f>
        <v>1.7763568394002505E-15</v>
      </c>
      <c r="L61" s="7">
        <f>SUM(L29:L45)</f>
        <v>0</v>
      </c>
      <c r="M61" s="7">
        <f ca="1">SUM(M29:M45)</f>
        <v>0</v>
      </c>
      <c r="N61" s="7" t="s">
        <v>15</v>
      </c>
      <c r="O61" s="13" t="s">
        <v>15</v>
      </c>
      <c r="P61" s="7" t="s">
        <v>26</v>
      </c>
      <c r="Q61" s="7" t="s">
        <v>33</v>
      </c>
      <c r="R61" s="7" t="s">
        <v>30</v>
      </c>
      <c r="V61" s="7" t="s">
        <v>34</v>
      </c>
      <c r="X61" s="7">
        <f>SUM(X29:X45)</f>
        <v>0</v>
      </c>
      <c r="Y61" s="7">
        <f ca="1">SUM(Y29:Y45)</f>
        <v>0</v>
      </c>
      <c r="Z61" s="7">
        <f ca="1">SUM(Z29:Z45)</f>
        <v>1.7763568394002505E-15</v>
      </c>
      <c r="AA61" s="7" t="s">
        <v>15</v>
      </c>
      <c r="AB61" s="13" t="s">
        <v>15</v>
      </c>
      <c r="AC61" s="7" t="s">
        <v>26</v>
      </c>
      <c r="AD61" s="7" t="s">
        <v>33</v>
      </c>
      <c r="AE61" s="7" t="s">
        <v>30</v>
      </c>
      <c r="AI61" s="7" t="s">
        <v>34</v>
      </c>
    </row>
    <row r="62" spans="1:47" hidden="1" x14ac:dyDescent="0.2">
      <c r="A62" s="7" t="s">
        <v>14</v>
      </c>
      <c r="B62" s="13" t="s">
        <v>20</v>
      </c>
      <c r="C62" s="7" t="s">
        <v>14</v>
      </c>
      <c r="D62" s="7" t="s">
        <v>20</v>
      </c>
      <c r="E62" s="7" t="s">
        <v>14</v>
      </c>
      <c r="F62" s="7" t="s">
        <v>20</v>
      </c>
      <c r="N62" s="7" t="s">
        <v>14</v>
      </c>
      <c r="O62" s="13" t="s">
        <v>20</v>
      </c>
      <c r="P62" s="7" t="s">
        <v>14</v>
      </c>
      <c r="Q62" s="7" t="s">
        <v>20</v>
      </c>
      <c r="R62" s="7" t="s">
        <v>14</v>
      </c>
      <c r="S62" s="7" t="s">
        <v>20</v>
      </c>
      <c r="AA62" s="7" t="s">
        <v>14</v>
      </c>
      <c r="AB62" s="13" t="s">
        <v>20</v>
      </c>
      <c r="AC62" s="7" t="s">
        <v>14</v>
      </c>
      <c r="AD62" s="7" t="s">
        <v>20</v>
      </c>
      <c r="AE62" s="7" t="s">
        <v>14</v>
      </c>
      <c r="AF62" s="7" t="s">
        <v>20</v>
      </c>
    </row>
    <row r="63" spans="1:47" hidden="1" x14ac:dyDescent="0.2">
      <c r="A63" s="7">
        <f>SUMIFS('Final Look'!TuesHours,'Final Look'!TuesAMPM,A62,'Final Look'!TuesJobCode,"Bartender")</f>
        <v>8</v>
      </c>
      <c r="B63" s="13">
        <f>SUMIFS('Final Look'!TuesHours,'Final Look'!TuesAMPM,B62,'Final Look'!TuesJobCode,"Bartender")</f>
        <v>8</v>
      </c>
      <c r="C63" s="7">
        <f>SUMIFS('Final Look'!TuesHours,'Final Look'!TuesAMPM,C62,'Final Look'!TuesJobCode,"Food Runner")+SUMIFS('Final Look'!TuesHours,'Final Look'!TuesAMPM,C62,'Final Look'!TuesJobCode,"Expo")</f>
        <v>0</v>
      </c>
      <c r="D63" s="7">
        <f>SUMIFS('Final Look'!TuesHours,'Final Look'!TuesAMPM,D62,'Final Look'!TuesJobCode,"Food Runner")+SUMIFS('Final Look'!TuesHours,'Final Look'!TuesAMPM,D62,'Final Look'!TuesJobCode,"Expo")</f>
        <v>0</v>
      </c>
      <c r="E63" s="7">
        <f>SUMIFS('Final Look'!TuesHours,'Final Look'!TuesAMPM,E62,'Final Look'!TuesJobCode,"Host")</f>
        <v>6</v>
      </c>
      <c r="F63" s="7">
        <f>SUMIFS('Final Look'!TuesHours,'Final Look'!TuesAMPM,F62,'Final Look'!TuesJobCode,"Host")</f>
        <v>6</v>
      </c>
      <c r="G63" s="7" t="s">
        <v>35</v>
      </c>
      <c r="N63" s="7">
        <f>SUMIFS('Final Look'!ThursHours,'Final Look'!ThursAMPM,N62,'Final Look'!ThursJobCode,"Bartender")</f>
        <v>8</v>
      </c>
      <c r="O63" s="13">
        <f>SUMIFS('Final Look'!ThursHours,'Final Look'!ThursAMPM,O62,'Final Look'!ThursJobCode,"Bartender")</f>
        <v>7</v>
      </c>
      <c r="P63" s="7">
        <f>SUMIFS('Final Look'!ThursHours,'Final Look'!ThursAMPM,P62,'Final Look'!ThursJobCode,"Food Runner")+SUMIFS('Final Look'!ThursHours,'Final Look'!ThursAMPM,P62,'Final Look'!ThursJobCode,"Expo")</f>
        <v>0</v>
      </c>
      <c r="Q63" s="7">
        <f>SUMIFS('Final Look'!ThursHours,'Final Look'!ThursAMPM,Q62,'Final Look'!ThursJobCode,"Food Runner")+SUMIFS('Final Look'!ThursHours,'Final Look'!ThursAMPM,Q62,'Final Look'!ThursJobCode,"Expo")</f>
        <v>4</v>
      </c>
      <c r="R63" s="7">
        <f>SUMIFS('Final Look'!ThursHours,'Final Look'!ThursAMPM,R62,'Final Look'!ThursJobCode,"Host")</f>
        <v>5</v>
      </c>
      <c r="S63" s="7">
        <f>SUMIFS('Final Look'!ThursHours,'Final Look'!ThursAMPM,S62,'Final Look'!ThursJobCode,"Host")</f>
        <v>7</v>
      </c>
      <c r="T63" s="7" t="s">
        <v>35</v>
      </c>
      <c r="AA63" s="7">
        <f>SUMIFS('Final Look'!SatHours,'Final Look'!SatAMPM,AA62,'Final Look'!SatJobCode,"Bartender")</f>
        <v>0</v>
      </c>
      <c r="AB63" s="13">
        <f>SUMIFS('Final Look'!SatHours,'Final Look'!SatAMPM,AB62,'Final Look'!SatJobCode,"Bartender")</f>
        <v>0</v>
      </c>
      <c r="AC63" s="7">
        <f>SUMIFS('Final Look'!SatHours,'Final Look'!SatAMPM,AC62,'Final Look'!SatJobCode,"Food Runner")+SUMIFS('Final Look'!SatHours,'Final Look'!SatAMPM,AC62,'Final Look'!SatJobCode,"Expo")</f>
        <v>0</v>
      </c>
      <c r="AD63" s="7">
        <f>SUMIFS('Final Look'!SatHours,'Final Look'!SatAMPM,AD62,'Final Look'!SatJobCode,"Food Runner")+SUMIFS('Final Look'!SatHours,'Final Look'!SatAMPM,AD62,'Final Look'!SatJobCode,"Expo")</f>
        <v>0</v>
      </c>
      <c r="AE63" s="7">
        <f>SUMIFS('Final Look'!SatHours,'Final Look'!SatAMPM,AE62,'Final Look'!SatJobCode,"Host")</f>
        <v>0</v>
      </c>
      <c r="AF63" s="7">
        <f>SUMIFS('Final Look'!SatHours,'Final Look'!SatAMPM,AF62,'Final Look'!SatJobCode,"Host")</f>
        <v>0</v>
      </c>
      <c r="AG63" s="7" t="s">
        <v>35</v>
      </c>
    </row>
    <row r="64" spans="1:47" hidden="1" x14ac:dyDescent="0.2">
      <c r="A64" s="7">
        <f>SUMIFS(TuesAlcTipout,'Final Look'!TuesAMPM,A62,'Final Look'!TuesJobCode,"&lt;&gt;Bartender")*-1</f>
        <v>9</v>
      </c>
      <c r="B64" s="66">
        <f>SUMIFS(TuesAlcTipout,'Final Look'!TuesAMPM,B62,'Final Look'!TuesJobCode,"&lt;&gt;Bartender")*-1</f>
        <v>42.18</v>
      </c>
      <c r="C64" s="7">
        <f>ABS(IF(C63=0,0,(SUMIFS(TuesFoodTipout,'Final Look'!TuesAMPM,C62,'Final Look'!TuesJobCode,"Server")+(SUMIFS(TuesFoodTipout,'Final Look'!TuesAMPM,C62,'Final Look'!TuesJobCode,"Bartender")))))</f>
        <v>0</v>
      </c>
      <c r="D64" s="7">
        <f>ABS(IF(D63=0,0,(SUMIFS(TuesFoodTipout,'Final Look'!TuesAMPM,D62,'Final Look'!TuesJobCode,"Server")+(SUMIFS(TuesFoodTipout,'Final Look'!TuesAMPM,D62,'Final Look'!TuesJobCode,"Bartender")))))</f>
        <v>0</v>
      </c>
      <c r="E64" s="7">
        <f ca="1">ABS(SUMIFS(TuesHostTipout,'Final Look'!TuesAMPM,E62,'Final Look'!TuesJobCode,"&lt;&gt;Host"))</f>
        <v>22.93</v>
      </c>
      <c r="F64" s="7">
        <f ca="1">ABS(SUMIFS(TuesHostTipout,'Final Look'!TuesAMPM,F62,'Final Look'!TuesJobCode,"&lt;&gt;Host"))</f>
        <v>54.01</v>
      </c>
      <c r="G64" s="7" t="s">
        <v>36</v>
      </c>
      <c r="N64" s="7">
        <f>SUMIFS(ThursAlcTipout,'Final Look'!ThursAMPM,N62,'Final Look'!ThursJobCode,"&lt;&gt;Bartender")*-1</f>
        <v>12</v>
      </c>
      <c r="O64" s="66">
        <f>SUMIFS(ThursAlcTipout,'Final Look'!ThursAMPM,O62,'Final Look'!ThursJobCode,"&lt;&gt;Bartender")*-1</f>
        <v>14.879999999999999</v>
      </c>
      <c r="P64" s="7">
        <f>ABS(IF(P63=0,0,(SUMIFS(ThursFoodTipout,'Final Look'!ThursAMPM,P62,'Final Look'!ThursJobCode,"Server")+(SUMIFS(ThursFoodTipout,'Final Look'!ThursAMPM,P62,'Final Look'!ThursJobCode,"Bartender")))))</f>
        <v>0</v>
      </c>
      <c r="Q64" s="7">
        <f ca="1">ABS(IF(Q63=0,0,(SUMIFS(ThursFoodTipout,'Final Look'!ThursAMPM,Q62,'Final Look'!ThursJobCode,"Server")+(SUMIFS(ThursFoodTipout,'Final Look'!ThursAMPM,Q62,'Final Look'!ThursJobCode,"Bartender")))))</f>
        <v>14.12</v>
      </c>
      <c r="R64" s="7">
        <f ca="1">ABS(SUMIFS(ThursHostTipout,'Final Look'!ThursAMPM,R62,'Final Look'!ThursJobCode,"&lt;&gt;Host"))</f>
        <v>27.1</v>
      </c>
      <c r="S64" s="7">
        <f ca="1">ABS(SUMIFS(ThursHostTipout,'Final Look'!ThursAMPM,S62,'Final Look'!ThursJobCode,"&lt;&gt;Host"))</f>
        <v>14.37</v>
      </c>
      <c r="T64" s="7" t="s">
        <v>36</v>
      </c>
      <c r="AA64" s="7">
        <f>SUMIFS(SatAlcTipout,'Final Look'!SatAMPM,AA62,'Final Look'!SatJobCode,"&lt;&gt;Bartender")*-1</f>
        <v>0</v>
      </c>
      <c r="AB64" s="66">
        <f>SUMIFS(SatAlcTipout,'Final Look'!SatAMPM,AB62,'Final Look'!SatJobCode,"&lt;&gt;Bartender")*-1</f>
        <v>0</v>
      </c>
      <c r="AC64" s="7">
        <f>ABS(IF(AC63=0,0,(SUMIFS(SatFoodTipout,'Final Look'!SatAMPM,AC62,'Final Look'!SatJobCode,"Server")+(SUMIFS(SatFoodTipout,'Final Look'!SatAMPM,AC62,'Final Look'!SatJobCode,"Bartender")))))</f>
        <v>0</v>
      </c>
      <c r="AD64" s="7">
        <f>ABS(IF(AD63=0,0,(SUMIFS(SatFoodTipout,'Final Look'!SatAMPM,AD62,'Final Look'!SatJobCode,"Server")+(SUMIFS(SatFoodTipout,'Final Look'!SatAMPM,AD62,'Final Look'!SatJobCode,"Bartender")))))</f>
        <v>0</v>
      </c>
      <c r="AE64" s="7">
        <f>ABS(SUMIFS(SatHostTipout,'Final Look'!SatAMPM,AE62,'Final Look'!SatJobCode,"&lt;&gt;Host"))</f>
        <v>0</v>
      </c>
      <c r="AF64" s="7">
        <f>ABS(SUMIFS(SatHostTipout,'Final Look'!SatAMPM,AF62,'Final Look'!SatJobCode,"&lt;&gt;Host"))</f>
        <v>0</v>
      </c>
      <c r="AG64" s="7" t="s">
        <v>36</v>
      </c>
    </row>
    <row r="65" spans="1:45" hidden="1" x14ac:dyDescent="0.2">
      <c r="A65" s="66">
        <f>SUMIFS('Final Look'!TuesTips,'Final Look'!TuesAMPM,A62,'Final Look'!TuesJobCode,A61)</f>
        <v>165</v>
      </c>
      <c r="B65" s="66">
        <f>SUMIFS('Final Look'!TuesTips,'Final Look'!TuesAMPM,B62,'Final Look'!TuesJobCode,B61)</f>
        <v>300</v>
      </c>
      <c r="C65" s="7">
        <f>SUMIFS(TuesFoodTipout,'Final Look'!TuesAMPM,C62,'Final Look'!TuesJobCode,"Bartender")</f>
        <v>0</v>
      </c>
      <c r="D65" s="7">
        <f>SUMIFS(TuesFoodTipout,'Final Look'!TuesAMPM,D62,'Final Look'!TuesJobCode,"Bartender")</f>
        <v>0</v>
      </c>
      <c r="E65" s="7">
        <f ca="1">SUMIFS(TuesHostTipout,'Final Look'!TuesJobCode,"Bartender",'Final Look'!TuesAMPM,E62)</f>
        <v>-12.35</v>
      </c>
      <c r="F65" s="7">
        <f ca="1">SUMIFS(TuesHostTipout,'Final Look'!TuesJobCode,"Bartender",'Final Look'!TuesAMPM,F62)</f>
        <v>-13</v>
      </c>
      <c r="G65" s="7" t="s">
        <v>37</v>
      </c>
      <c r="N65" s="66">
        <f>SUMIFS('Final Look'!ThursTips,'Final Look'!ThursAMPM,N62,'Final Look'!ThursJobCode,N61)</f>
        <v>250</v>
      </c>
      <c r="O65" s="66">
        <f>SUMIFS('Final Look'!ThursTips,'Final Look'!ThursAMPM,O62,'Final Look'!ThursJobCode,O61)</f>
        <v>10</v>
      </c>
      <c r="P65" s="7">
        <f>SUMIFS(ThursFoodTipout,'Final Look'!ThursAMPM,P62,'Final Look'!ThursJobCode,"Bartender")</f>
        <v>0</v>
      </c>
      <c r="Q65" s="7">
        <f ca="1">SUMIFS(ThursFoodTipout,'Final Look'!ThursAMPM,Q62,'Final Look'!ThursJobCode,"Bartender")</f>
        <v>-0.18</v>
      </c>
      <c r="R65" s="7">
        <f ca="1">SUMIFS(ThursHostTipout,'Final Look'!ThursJobCode,"Bartender",'Final Look'!ThursAMPM,R62)</f>
        <v>-14.64</v>
      </c>
      <c r="S65" s="7">
        <f ca="1">SUMIFS(ThursHostTipout,'Final Look'!ThursJobCode,"Bartender",'Final Look'!ThursAMPM,S62)</f>
        <v>-2.44</v>
      </c>
      <c r="T65" s="7" t="s">
        <v>37</v>
      </c>
      <c r="AA65" s="66">
        <f>SUMIFS('Final Look'!SatTips,'Final Look'!SatAMPM,AA62,'Final Look'!SatJobCode,AA61)</f>
        <v>0</v>
      </c>
      <c r="AB65" s="66">
        <f>SUMIFS('Final Look'!SatTips,'Final Look'!SatAMPM,AB62,'Final Look'!SatJobCode,AB61)</f>
        <v>0</v>
      </c>
      <c r="AC65" s="7">
        <f>SUMIFS(SatFoodTipout,'Final Look'!SatAMPM,AC62,'Final Look'!SatJobCode,"Bartender")</f>
        <v>0</v>
      </c>
      <c r="AD65" s="7">
        <f>SUMIFS(SatFoodTipout,'Final Look'!SatAMPM,AD62,'Final Look'!SatJobCode,"Bartender")</f>
        <v>0</v>
      </c>
      <c r="AE65" s="7">
        <f>SUMIFS(SatHostTipout,'Final Look'!SatJobCode,"Bartender",'Final Look'!SatAMPM,AE62)</f>
        <v>0</v>
      </c>
      <c r="AF65" s="7">
        <f>SUMIFS(SatHostTipout,'Final Look'!SatJobCode,"Bartender",'Final Look'!SatAMPM,AF62)</f>
        <v>0</v>
      </c>
      <c r="AG65" s="7" t="s">
        <v>37</v>
      </c>
    </row>
    <row r="66" spans="1:45" hidden="1" x14ac:dyDescent="0.2">
      <c r="A66" s="7">
        <f>A64/A63</f>
        <v>1.125</v>
      </c>
      <c r="B66" s="13">
        <f>B64/B63</f>
        <v>5.2725</v>
      </c>
      <c r="C66" s="7">
        <f>IFERROR(C64/C63,0)</f>
        <v>0</v>
      </c>
      <c r="D66" s="7">
        <f>IFERROR(D64/D63,0)</f>
        <v>0</v>
      </c>
      <c r="E66" s="7">
        <f ca="1">IFERROR(E64/E63,0)</f>
        <v>3.8216666666666668</v>
      </c>
      <c r="F66" s="7">
        <f ca="1">IFERROR(F64/F63,0)</f>
        <v>9.0016666666666669</v>
      </c>
      <c r="G66" s="7" t="s">
        <v>38</v>
      </c>
      <c r="N66" s="7">
        <f>N64/N63</f>
        <v>1.5</v>
      </c>
      <c r="O66" s="13">
        <f>O64/O63</f>
        <v>2.1257142857142854</v>
      </c>
      <c r="P66" s="7">
        <f>IFERROR(P64/P63,0)</f>
        <v>0</v>
      </c>
      <c r="Q66" s="7">
        <f ca="1">IFERROR(Q64/Q63,0)</f>
        <v>3.53</v>
      </c>
      <c r="R66" s="7">
        <f ca="1">IFERROR(R64/R63,0)</f>
        <v>5.42</v>
      </c>
      <c r="S66" s="7">
        <f ca="1">IFERROR(S64/S63,0)</f>
        <v>2.0528571428571429</v>
      </c>
      <c r="T66" s="7" t="s">
        <v>38</v>
      </c>
      <c r="AA66" s="7" t="e">
        <f>AA64/AA63</f>
        <v>#DIV/0!</v>
      </c>
      <c r="AB66" s="13" t="e">
        <f>AB64/AB63</f>
        <v>#DIV/0!</v>
      </c>
      <c r="AC66" s="7">
        <f>IFERROR(AC64/AC63,0)</f>
        <v>0</v>
      </c>
      <c r="AD66" s="7">
        <f>IFERROR(AD64/AD63,0)</f>
        <v>0</v>
      </c>
      <c r="AE66" s="7">
        <f>IFERROR(AE64/AE63,0)</f>
        <v>0</v>
      </c>
      <c r="AF66" s="7">
        <f>IFERROR(AF64/AF63,0)</f>
        <v>0</v>
      </c>
      <c r="AG66" s="7" t="s">
        <v>38</v>
      </c>
    </row>
    <row r="67" spans="1:45" hidden="1" x14ac:dyDescent="0.2">
      <c r="A67" s="7">
        <f>A65/A63</f>
        <v>20.625</v>
      </c>
      <c r="B67" s="13">
        <f>B65/B63</f>
        <v>37.5</v>
      </c>
      <c r="C67" s="7">
        <f>C65/A63</f>
        <v>0</v>
      </c>
      <c r="D67" s="7">
        <f>D65/B63</f>
        <v>0</v>
      </c>
      <c r="E67" s="7">
        <f ca="1">E65/A63</f>
        <v>-1.54375</v>
      </c>
      <c r="F67" s="7">
        <f ca="1">F65/B63</f>
        <v>-1.625</v>
      </c>
      <c r="G67" s="7" t="s">
        <v>39</v>
      </c>
      <c r="N67" s="7">
        <f>N65/N63</f>
        <v>31.25</v>
      </c>
      <c r="O67" s="13">
        <f>O65/O63</f>
        <v>1.4285714285714286</v>
      </c>
      <c r="P67" s="7">
        <f>P65/N63</f>
        <v>0</v>
      </c>
      <c r="Q67" s="7">
        <f ca="1">Q65/O63</f>
        <v>-2.5714285714285714E-2</v>
      </c>
      <c r="R67" s="7">
        <f ca="1">R65/N63</f>
        <v>-1.83</v>
      </c>
      <c r="S67" s="7">
        <f ca="1">S65/O63</f>
        <v>-0.34857142857142859</v>
      </c>
      <c r="T67" s="7" t="s">
        <v>39</v>
      </c>
      <c r="AA67" s="7" t="e">
        <f>AA65/AA63</f>
        <v>#DIV/0!</v>
      </c>
      <c r="AB67" s="13" t="e">
        <f>AB65/AB63</f>
        <v>#DIV/0!</v>
      </c>
      <c r="AC67" s="7" t="e">
        <f>AC65/AA63</f>
        <v>#DIV/0!</v>
      </c>
      <c r="AD67" s="7" t="e">
        <f>AD65/AB63</f>
        <v>#DIV/0!</v>
      </c>
      <c r="AE67" s="7" t="e">
        <f>AE65/AA63</f>
        <v>#DIV/0!</v>
      </c>
      <c r="AF67" s="7" t="e">
        <f>AF65/AB63</f>
        <v>#DIV/0!</v>
      </c>
      <c r="AG67" s="7" t="s">
        <v>39</v>
      </c>
    </row>
    <row r="68" spans="1:45" hidden="1" x14ac:dyDescent="0.2">
      <c r="A68" s="7" t="s">
        <v>46</v>
      </c>
      <c r="B68" s="13" t="s">
        <v>47</v>
      </c>
      <c r="C68" s="7" t="s">
        <v>48</v>
      </c>
      <c r="AN68" s="7" t="s">
        <v>49</v>
      </c>
      <c r="AO68" s="6">
        <f>Table4247891011121314182123252723[[#Totals],[Total]]/Table4247891011121314182123252723[[#Totals],[Hours]]</f>
        <v>129.73947236180905</v>
      </c>
      <c r="AP68" s="6">
        <f>IFERROR(Table4247891011121314182123252723[[#Totals],[Total]]/AP69,0)</f>
        <v>0</v>
      </c>
      <c r="AR68" s="6">
        <f>Table4247891011121314182123252723[[#Totals],[Food]]/Table4247891011121314182123252723[[#Totals],[Total]]</f>
        <v>0.60541990703828374</v>
      </c>
      <c r="AS68" s="6">
        <f>Table4247891011121314182123252723[[#Totals],[Alcohol]]/Table4247891011121314182123252723[[#Totals],[Total]]</f>
        <v>0.39458009296171626</v>
      </c>
    </row>
    <row r="69" spans="1:45" hidden="1" x14ac:dyDescent="0.2">
      <c r="A69" s="7" t="str">
        <f>TEXT(A1,"mm.dd")</f>
        <v>02.26</v>
      </c>
      <c r="B69" s="13" t="str">
        <f>TEXT(AN1,"mm.dd")</f>
        <v>03.03</v>
      </c>
      <c r="C69" s="7" t="str">
        <f>A69&amp;"-"&amp;B69</f>
        <v>02.26-03.03</v>
      </c>
      <c r="AO69" s="13" t="s">
        <v>50</v>
      </c>
      <c r="AP69" s="24"/>
      <c r="AR69" s="7" t="s">
        <v>51</v>
      </c>
      <c r="AS69" s="7" t="s">
        <v>52</v>
      </c>
    </row>
    <row r="70" spans="1:45" x14ac:dyDescent="0.2">
      <c r="AN70" s="13" t="s">
        <v>53</v>
      </c>
      <c r="AP70" s="49"/>
      <c r="AR70" s="7" t="s">
        <v>51</v>
      </c>
      <c r="AS70" s="7" t="s">
        <v>52</v>
      </c>
    </row>
    <row r="71" spans="1:45" x14ac:dyDescent="0.2">
      <c r="AN71" s="50" t="s">
        <v>54</v>
      </c>
      <c r="AO71" s="6">
        <f>Table4247891011121314182123252723[[#Totals],[Hours]]/Table4247891011121314182123252723[[#Totals],[Total]]</f>
        <v>7.7077544851675102E-3</v>
      </c>
      <c r="AP71" s="6">
        <f>AP70/Table4247891011121314182123252723[[#Totals],[Total]]</f>
        <v>0</v>
      </c>
      <c r="AR71" s="6">
        <f>Table4247891011121314182123252723[[#Totals],[Food]]/Table4247891011121314182123252723[[#Totals],[Total]]</f>
        <v>0.60541990703828374</v>
      </c>
      <c r="AS71" s="6">
        <f>Table4247891011121314182123252723[[#Totals],[Alcohol]]/Table4247891011121314182123252723[[#Totals],[Total]]</f>
        <v>0.39458009296171626</v>
      </c>
    </row>
  </sheetData>
  <sheetProtection sheet="1" objects="1" scenarios="1"/>
  <sortState xmlns:xlrd2="http://schemas.microsoft.com/office/spreadsheetml/2017/richdata2" ref="AN29:AU59">
    <sortCondition descending="1" ref="AS28"/>
  </sortState>
  <mergeCells count="8">
    <mergeCell ref="B1:J1"/>
    <mergeCell ref="O1:W1"/>
    <mergeCell ref="AB1:AJ1"/>
    <mergeCell ref="AO1:AW1"/>
    <mergeCell ref="B27:J27"/>
    <mergeCell ref="O27:W27"/>
    <mergeCell ref="AB27:AJ27"/>
    <mergeCell ref="AN27:AU27"/>
  </mergeCells>
  <dataValidations count="5">
    <dataValidation type="list" allowBlank="1" showInputMessage="1" showErrorMessage="1" sqref="H20 H61 U61 AH61 U20 AH20 AU20" xr:uid="{88F50979-2B78-214A-97E0-4AF37B71DC95}">
      <formula1>$R$2:$R$8</formula1>
    </dataValidation>
    <dataValidation type="list" allowBlank="1" showInputMessage="1" showErrorMessage="1" sqref="H21 G61:G62 H62 U62 AH62 U21 G29:G45 AH21 T61:T62 AU21 AG61:AG62 AG3:AG21 AG29:AG45 T3:T21 T29:T45 G3:G21 AT3:AT21" xr:uid="{25D989E1-2104-D94B-9FA8-8CEEBA0355D9}">
      <formula1>"AM, PM"</formula1>
    </dataValidation>
    <dataValidation type="list" allowBlank="1" showInputMessage="1" showErrorMessage="1" sqref="AN3:AN19 N3:N19 N29:N45 A29:A45 AA3:AA19 AA29:AA45 A3:A19" xr:uid="{95C8C6F7-7FA8-2B47-B8C6-D020137713E8}">
      <formula1>$AN$29:$AN$59</formula1>
    </dataValidation>
    <dataValidation type="list" allowBlank="1" showInputMessage="1" showErrorMessage="1" sqref="AH29:AH45 AU3:AU19 AH3:AH19 U29:U45 H37:H45 U17:U19" xr:uid="{61ED8703-2E6D-684C-BD1D-1781D3CFDDD1}">
      <formula1>$AU$29:$AU$59</formula1>
    </dataValidation>
    <dataValidation type="list" allowBlank="1" showInputMessage="1" showErrorMessage="1" sqref="U3:U16 H29:H36 H3:H19" xr:uid="{30607676-82BB-C140-91D2-2EDFEB7A839A}">
      <formula1>$AU$29:$AU$44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E38C0-8540-6F47-ADE6-D589A72ABDB3}">
  <sheetPr codeName="Sheet26"/>
  <dimension ref="A1:BH71"/>
  <sheetViews>
    <sheetView zoomScaleNormal="100" workbookViewId="0">
      <selection sqref="A1:XFD1048576"/>
    </sheetView>
  </sheetViews>
  <sheetFormatPr baseColWidth="10" defaultColWidth="8.83203125" defaultRowHeight="15" x14ac:dyDescent="0.2"/>
  <cols>
    <col min="1" max="1" width="11.83203125" style="29" customWidth="1"/>
    <col min="2" max="2" width="5.83203125" style="51" customWidth="1"/>
    <col min="3" max="6" width="10.83203125" style="29" customWidth="1"/>
    <col min="7" max="7" width="7.33203125" style="29" customWidth="1"/>
    <col min="8" max="10" width="10.83203125" style="29" customWidth="1"/>
    <col min="11" max="11" width="14.33203125" style="29" customWidth="1"/>
    <col min="12" max="12" width="12.83203125" style="29" customWidth="1"/>
    <col min="13" max="13" width="14.1640625" style="29" customWidth="1"/>
    <col min="14" max="14" width="11.83203125" style="29" customWidth="1"/>
    <col min="15" max="15" width="5.83203125" style="51" customWidth="1"/>
    <col min="16" max="19" width="10.83203125" style="29" customWidth="1"/>
    <col min="20" max="20" width="7.33203125" style="29" customWidth="1"/>
    <col min="21" max="23" width="10.83203125" style="29" customWidth="1"/>
    <col min="24" max="24" width="12.33203125" style="29" customWidth="1"/>
    <col min="25" max="25" width="10.33203125" style="29" customWidth="1"/>
    <col min="26" max="26" width="10" style="29" customWidth="1"/>
    <col min="27" max="27" width="11.83203125" style="29" customWidth="1"/>
    <col min="28" max="28" width="5.83203125" style="51" customWidth="1"/>
    <col min="29" max="32" width="10.83203125" style="29" customWidth="1"/>
    <col min="33" max="33" width="7.33203125" style="29" customWidth="1"/>
    <col min="34" max="36" width="10.83203125" style="29" customWidth="1"/>
    <col min="37" max="37" width="12.33203125" style="29" customWidth="1"/>
    <col min="38" max="38" width="10.33203125" style="29" customWidth="1"/>
    <col min="39" max="39" width="10" style="29" customWidth="1"/>
    <col min="40" max="40" width="11.83203125" style="29" customWidth="1"/>
    <col min="41" max="41" width="8.33203125" style="51" customWidth="1"/>
    <col min="42" max="42" width="14.1640625" style="29" customWidth="1"/>
    <col min="43" max="45" width="10.83203125" style="29" customWidth="1"/>
    <col min="46" max="46" width="11.6640625" style="29" customWidth="1"/>
    <col min="47" max="49" width="10.83203125" style="29" customWidth="1"/>
    <col min="50" max="50" width="12.33203125" style="29" customWidth="1"/>
    <col min="51" max="51" width="10.33203125" style="29" customWidth="1"/>
    <col min="52" max="52" width="8.1640625" style="29" customWidth="1"/>
    <col min="53" max="53" width="15" style="29" customWidth="1"/>
    <col min="54" max="54" width="13.6640625" style="29" customWidth="1"/>
    <col min="55" max="57" width="8.33203125" style="29" customWidth="1"/>
    <col min="58" max="58" width="9" style="29" customWidth="1"/>
    <col min="59" max="59" width="11.33203125" style="29" customWidth="1"/>
    <col min="60" max="16384" width="8.83203125" style="29"/>
  </cols>
  <sheetData>
    <row r="1" spans="1:60" ht="21" x14ac:dyDescent="0.25">
      <c r="A1" s="71">
        <v>45292</v>
      </c>
      <c r="B1" s="75" t="str">
        <f>TEXT(A1,"DDDD")</f>
        <v>Monday</v>
      </c>
      <c r="C1" s="76"/>
      <c r="D1" s="76"/>
      <c r="E1" s="76"/>
      <c r="F1" s="76"/>
      <c r="G1" s="76"/>
      <c r="H1" s="76"/>
      <c r="I1" s="76"/>
      <c r="J1" s="77"/>
      <c r="K1" s="25">
        <v>0.03</v>
      </c>
      <c r="L1" s="25">
        <v>0.02</v>
      </c>
      <c r="M1" s="25">
        <v>0.01</v>
      </c>
      <c r="N1" s="68">
        <f>A1+2</f>
        <v>45294</v>
      </c>
      <c r="O1" s="78" t="str">
        <f>TEXT(N1,"DDDD")</f>
        <v>Wednesday</v>
      </c>
      <c r="P1" s="79"/>
      <c r="Q1" s="79"/>
      <c r="R1" s="79"/>
      <c r="S1" s="79"/>
      <c r="T1" s="79"/>
      <c r="U1" s="79"/>
      <c r="V1" s="79"/>
      <c r="W1" s="80"/>
      <c r="X1" s="25">
        <v>0.03</v>
      </c>
      <c r="Y1" s="25">
        <v>0.02</v>
      </c>
      <c r="Z1" s="25">
        <v>0.01</v>
      </c>
      <c r="AA1" s="69">
        <f>A1+4</f>
        <v>45296</v>
      </c>
      <c r="AB1" s="81" t="str">
        <f>TEXT(AA1,"DDDD")</f>
        <v>Friday</v>
      </c>
      <c r="AC1" s="82"/>
      <c r="AD1" s="82"/>
      <c r="AE1" s="82"/>
      <c r="AF1" s="82"/>
      <c r="AG1" s="82"/>
      <c r="AH1" s="82"/>
      <c r="AI1" s="82"/>
      <c r="AJ1" s="83"/>
      <c r="AK1" s="25">
        <v>0.03</v>
      </c>
      <c r="AL1" s="25">
        <v>0.02</v>
      </c>
      <c r="AM1" s="25">
        <v>0.01</v>
      </c>
      <c r="AN1" s="68">
        <f>A1+6</f>
        <v>45298</v>
      </c>
      <c r="AO1" s="78" t="str">
        <f>TEXT(AN1,"DDDD")</f>
        <v>Sunday</v>
      </c>
      <c r="AP1" s="79"/>
      <c r="AQ1" s="79"/>
      <c r="AR1" s="79"/>
      <c r="AS1" s="79"/>
      <c r="AT1" s="79"/>
      <c r="AU1" s="79"/>
      <c r="AV1" s="79"/>
      <c r="AW1" s="80"/>
      <c r="AX1" s="25">
        <v>0.03</v>
      </c>
      <c r="AY1" s="25">
        <v>0.02</v>
      </c>
      <c r="AZ1" s="25">
        <v>0.01</v>
      </c>
      <c r="BH1" s="54"/>
    </row>
    <row r="2" spans="1:60" ht="16" x14ac:dyDescent="0.2">
      <c r="A2" s="26" t="s">
        <v>0</v>
      </c>
      <c r="B2" s="27" t="s">
        <v>1</v>
      </c>
      <c r="C2" s="26" t="s">
        <v>2</v>
      </c>
      <c r="D2" s="26" t="s">
        <v>3</v>
      </c>
      <c r="E2" s="26" t="s">
        <v>4</v>
      </c>
      <c r="F2" s="26" t="s">
        <v>5</v>
      </c>
      <c r="G2" s="28" t="s">
        <v>6</v>
      </c>
      <c r="H2" s="26" t="s">
        <v>7</v>
      </c>
      <c r="I2" s="26" t="s">
        <v>8</v>
      </c>
      <c r="J2" s="26" t="s">
        <v>9</v>
      </c>
      <c r="K2" s="29" t="s">
        <v>10</v>
      </c>
      <c r="L2" s="29" t="s">
        <v>11</v>
      </c>
      <c r="M2" s="29" t="s">
        <v>12</v>
      </c>
      <c r="N2" s="30" t="s">
        <v>0</v>
      </c>
      <c r="O2" s="31" t="s">
        <v>1</v>
      </c>
      <c r="P2" s="30" t="s">
        <v>2</v>
      </c>
      <c r="Q2" s="30" t="s">
        <v>3</v>
      </c>
      <c r="R2" s="30" t="s">
        <v>4</v>
      </c>
      <c r="S2" s="30" t="s">
        <v>5</v>
      </c>
      <c r="T2" s="32" t="s">
        <v>6</v>
      </c>
      <c r="U2" s="30" t="s">
        <v>7</v>
      </c>
      <c r="V2" s="30" t="s">
        <v>8</v>
      </c>
      <c r="W2" s="30" t="s">
        <v>9</v>
      </c>
      <c r="X2" s="29" t="s">
        <v>10</v>
      </c>
      <c r="Y2" s="29" t="s">
        <v>11</v>
      </c>
      <c r="Z2" s="29" t="s">
        <v>12</v>
      </c>
      <c r="AA2" s="33" t="s">
        <v>0</v>
      </c>
      <c r="AB2" s="34" t="s">
        <v>1</v>
      </c>
      <c r="AC2" s="33" t="s">
        <v>2</v>
      </c>
      <c r="AD2" s="33" t="s">
        <v>3</v>
      </c>
      <c r="AE2" s="33" t="s">
        <v>4</v>
      </c>
      <c r="AF2" s="33" t="s">
        <v>5</v>
      </c>
      <c r="AG2" s="35" t="s">
        <v>6</v>
      </c>
      <c r="AH2" s="33" t="s">
        <v>7</v>
      </c>
      <c r="AI2" s="33" t="s">
        <v>8</v>
      </c>
      <c r="AJ2" s="33" t="s">
        <v>9</v>
      </c>
      <c r="AK2" s="29" t="s">
        <v>10</v>
      </c>
      <c r="AL2" s="29" t="s">
        <v>11</v>
      </c>
      <c r="AM2" s="29" t="s">
        <v>12</v>
      </c>
      <c r="AN2" s="30" t="s">
        <v>0</v>
      </c>
      <c r="AO2" s="31" t="s">
        <v>1</v>
      </c>
      <c r="AP2" s="30" t="s">
        <v>2</v>
      </c>
      <c r="AQ2" s="30" t="s">
        <v>3</v>
      </c>
      <c r="AR2" s="30" t="s">
        <v>4</v>
      </c>
      <c r="AS2" s="30" t="s">
        <v>5</v>
      </c>
      <c r="AT2" s="30" t="s">
        <v>6</v>
      </c>
      <c r="AU2" s="30" t="s">
        <v>7</v>
      </c>
      <c r="AV2" s="30" t="s">
        <v>8</v>
      </c>
      <c r="AW2" s="30" t="s">
        <v>9</v>
      </c>
      <c r="AX2" s="29" t="s">
        <v>10</v>
      </c>
      <c r="AY2" s="29" t="s">
        <v>11</v>
      </c>
      <c r="AZ2" s="29" t="s">
        <v>12</v>
      </c>
    </row>
    <row r="3" spans="1:60" x14ac:dyDescent="0.2">
      <c r="A3" s="55"/>
      <c r="B3" s="56"/>
      <c r="C3" s="55"/>
      <c r="D3" s="55"/>
      <c r="E3" s="55"/>
      <c r="F3" s="38">
        <f>D3+E3</f>
        <v>0</v>
      </c>
      <c r="G3" s="55"/>
      <c r="H3" s="55"/>
      <c r="I3" s="38">
        <f t="shared" ref="I3" si="0">IF(H3="Bartender",(HLOOKUP(G3,MonFoodTable,6)*B3)+(HLOOKUP(G3,MonHostTable,6)*B3)+K3,SUM(K3,L3,M3))</f>
        <v>0</v>
      </c>
      <c r="J3" s="38">
        <f t="shared" ref="J3" si="1">IFERROR(IF(H3="Bartender",(HLOOKUP(G3,MonBarTable,6)*B3)+I3,C3+I3),"")</f>
        <v>0</v>
      </c>
      <c r="K3" s="29">
        <f t="shared" ref="K3" si="2">IF(H3="Server",-E3*AlcoholTipPercentage,0)+IF(H3="Bartender",HLOOKUP(G3,MonBarTable,5)*B3)</f>
        <v>0</v>
      </c>
      <c r="L3" s="29" t="str" cm="1">
        <f t="array" ref="L3">IFERROR(_xlfn.IFS(HLOOKUP(G3,MonFoodTable,2)=0,0,OR(H3="Server",H3="Bartender"),-D3*FoodTipPercentage,OR(H3="Expo",H3="Food Runner"),HLOOKUP(G3,MonFoodTable,5)*B3,H3="Host",0),"")</f>
        <v/>
      </c>
      <c r="M3" s="29" t="str" cm="1">
        <f t="array" ref="M3">IFERROR(_xlfn.IFS(HLOOKUP(G3,MonHostTable,2)=0,0,OR(H3="Server",H3="Bartender"),-F3*HostTipPercentage,H3="Host",HLOOKUP(G3,MonHostTable,5)*B3,OR(H3="Expo",H3="Food Runner"),0),"")</f>
        <v/>
      </c>
      <c r="N3" s="57"/>
      <c r="O3" s="58"/>
      <c r="P3" s="57"/>
      <c r="Q3" s="57"/>
      <c r="R3" s="57"/>
      <c r="S3" s="36">
        <f>Q3+R3</f>
        <v>0</v>
      </c>
      <c r="T3" s="57"/>
      <c r="U3" s="57"/>
      <c r="V3" s="36">
        <f t="shared" ref="V3" si="3">IF(U3="Bartender",(HLOOKUP(T3,WedFoodTable,6)*O3)+(HLOOKUP(T3,WedHostTable,6)*O3)+X3,SUM(X3,Y3,Z3))</f>
        <v>0</v>
      </c>
      <c r="W3" s="36">
        <f t="shared" ref="W3" si="4">IFERROR(IF(U3="Bartender",(HLOOKUP(T3,WedBarTable,6)*O3)+V3,P3+V3),"")</f>
        <v>0</v>
      </c>
      <c r="X3" s="29">
        <f t="shared" ref="X3" si="5">IF(U3="Server",-R3*AlcoholTipPercentage,0)+IF(U3="Bartender",HLOOKUP(T3,WedBarTable,5)*O3)</f>
        <v>0</v>
      </c>
      <c r="Y3" s="29" t="str" cm="1">
        <f t="array" ref="Y3">IFERROR(_xlfn.IFS(HLOOKUP(T3,WedFoodTable,2)=0,0,OR(U3="Server",U3="Bartender"),-Q3*FoodTipPercentage,OR(U3="Expo",U3="Food Runner"),HLOOKUP(T3,WedFoodTable,5)*O3,U3="Host",0),"")</f>
        <v/>
      </c>
      <c r="Z3" s="29" t="str" cm="1">
        <f t="array" ref="Z3">IFERROR(_xlfn.IFS(HLOOKUP(T3,WedHostTable,2)=0,0,OR(U3="Server",U3="Bartender"),-S3*HostTipPercentage,U3="Host",HLOOKUP(T3,WedHostTable,5)*O3,OR(U3="Expo",U3="Food Runner"),0),"")</f>
        <v/>
      </c>
      <c r="AA3" s="59"/>
      <c r="AB3" s="60"/>
      <c r="AC3" s="59"/>
      <c r="AD3" s="59"/>
      <c r="AE3" s="59"/>
      <c r="AF3" s="37">
        <f>AD3+AE3</f>
        <v>0</v>
      </c>
      <c r="AG3" s="59"/>
      <c r="AH3" s="59"/>
      <c r="AI3" s="37">
        <f t="shared" ref="AI3" si="6">IF(AH3="Bartender",(HLOOKUP(AG3,FriFoodTable,6)*AB3)+(HLOOKUP(AG3,FriHostTable,6)*AB3)+AK3,SUM(AK3,AL3,AM3))</f>
        <v>0</v>
      </c>
      <c r="AJ3" s="37">
        <f t="shared" ref="AJ3" si="7">IFERROR(IF(AH3="Bartender",(HLOOKUP(AG3,FriBarTable,6)*AB3)+AI3,AC3+AI3),"")</f>
        <v>0</v>
      </c>
      <c r="AK3" s="29">
        <f t="shared" ref="AK3" si="8">IF(AH3="Server",-AE3*AlcoholTipPercentage,0)+IF(AH3="Bartender",HLOOKUP(AG3,FriBarTable,5)*AB3)</f>
        <v>0</v>
      </c>
      <c r="AL3" s="29" t="str" cm="1">
        <f t="array" ref="AL3">IFERROR(_xlfn.IFS(HLOOKUP(AG3,FriFoodTable,2)=0,0,OR(AH3="Server",AH3="Bartender"),-AD3*FoodTipPercentage,OR(AH3="Expo",AH3="Food Runner"),HLOOKUP(AG3,FriFoodTable,5)*AB3,AH3="Host",0),"")</f>
        <v/>
      </c>
      <c r="AM3" s="29" t="str" cm="1">
        <f t="array" ref="AM3">IFERROR(_xlfn.IFS(HLOOKUP(AG3,FriHostTable,2)=0,0,OR(AH3="Server",AH3="Bartender"),-AF3*HostTipPercentage,AH3="Host",HLOOKUP(AG3,FriHostTable,5)*AB3,OR(AH3="Expo",AH3="Food Runner"),0),"")</f>
        <v/>
      </c>
      <c r="AN3" s="57"/>
      <c r="AO3" s="58"/>
      <c r="AP3" s="57"/>
      <c r="AQ3" s="57"/>
      <c r="AR3" s="57"/>
      <c r="AS3" s="36">
        <f>AQ3+AR3</f>
        <v>0</v>
      </c>
      <c r="AT3" s="57"/>
      <c r="AU3" s="57"/>
      <c r="AV3" s="36">
        <f t="shared" ref="AV3" si="9">IF(AU3="Bartender",(HLOOKUP(AT3,SunFoodTable,6)*AO3)+(HLOOKUP(AT3,SunHostTable,6)*AO3)+AX3,SUM(AX3,AY3,AZ3))</f>
        <v>0</v>
      </c>
      <c r="AW3" s="36">
        <f t="shared" ref="AW3" si="10">IFERROR(IF(AU3="Bartender",(HLOOKUP(AT3,SunBarTable,6)*AO3)+AV3,AP3+AV3),"")</f>
        <v>0</v>
      </c>
      <c r="AX3" s="29">
        <f t="shared" ref="AX3" si="11">IF(AU3="Server",-AR3*AlcoholTipPercentage,0)+IF(AU3="Bartender",HLOOKUP(AT3,SunBarTable,5)*AO3)</f>
        <v>0</v>
      </c>
      <c r="AY3" s="29" t="str" cm="1">
        <f t="array" ref="AY3">IFERROR(_xlfn.IFS(HLOOKUP(AT3,SunFoodTable,2)=0,0,OR(AU3="Server",AU3="Bartender"),-AQ3*FoodTipPercentage,OR(AU3="Expo",AU3="Food Runner"),HLOOKUP(AT3,SunFoodTable,5)*AO3,AU3="Host",0),"")</f>
        <v/>
      </c>
      <c r="AZ3" s="29" t="str" cm="1">
        <f t="array" ref="AZ3">IFERROR(_xlfn.IFS(HLOOKUP(AT3,SunHostTable,2)=0,0,OR(AU3="Server",AU3="Bartender"),-AS3*HostTipPercentage,AU3="Host",HLOOKUP(AT3,SunHostTable,5)*AO3,OR(AU3="Expo",AU3="Food Runner"),0),"")</f>
        <v/>
      </c>
    </row>
    <row r="4" spans="1:60" x14ac:dyDescent="0.2">
      <c r="A4" s="55"/>
      <c r="B4" s="56"/>
      <c r="C4" s="55"/>
      <c r="D4" s="55"/>
      <c r="E4" s="55"/>
      <c r="F4" s="38">
        <f t="shared" ref="F4:F19" si="12">E4+D4</f>
        <v>0</v>
      </c>
      <c r="G4" s="55"/>
      <c r="H4" s="55"/>
      <c r="I4" s="38">
        <f t="shared" ref="I4" si="13">IF(H4="Bartender",(HLOOKUP(G4,MonFoodTable,6)*B4)+(HLOOKUP(G4,MonHostTable,6)*B4)+K4,SUM(K4,L4,M4))</f>
        <v>0</v>
      </c>
      <c r="J4" s="38">
        <f t="shared" ref="J4" si="14">IFERROR(IF(H4="Bartender",(HLOOKUP(G4,MonBarTable,6)*B4)+I4,C4+I4),"")</f>
        <v>0</v>
      </c>
      <c r="K4" s="29">
        <f t="shared" ref="K4" si="15">IF(H4="Server",-E4*AlcoholTipPercentage,0)+IF(H4="Bartender",HLOOKUP(G4,MonBarTable,5)*B4)</f>
        <v>0</v>
      </c>
      <c r="L4" s="29" t="str" cm="1">
        <f t="array" ref="L4">IFERROR(_xlfn.IFS(HLOOKUP(G4,MonFoodTable,2)=0,0,OR(H4="Server",H4="Bartender"),-D4*FoodTipPercentage,OR(H4="Expo",H4="Food Runner"),HLOOKUP(G4,MonFoodTable,5)*B4,H4="Host",0),"")</f>
        <v/>
      </c>
      <c r="M4" s="29" t="str" cm="1">
        <f t="array" ref="M4">IFERROR(_xlfn.IFS(HLOOKUP(G4,MonHostTable,2)=0,0,OR(H4="Server",H4="Bartender"),-F4*HostTipPercentage,H4="Host",HLOOKUP(G4,MonHostTable,5)*B4,OR(H4="Expo",H4="Food Runner"),0),"")</f>
        <v/>
      </c>
      <c r="N4" s="57"/>
      <c r="O4" s="58"/>
      <c r="P4" s="57"/>
      <c r="Q4" s="57"/>
      <c r="R4" s="57"/>
      <c r="S4" s="36">
        <f t="shared" ref="S4:S19" si="16">R4+Q4</f>
        <v>0</v>
      </c>
      <c r="T4" s="57"/>
      <c r="U4" s="57"/>
      <c r="V4" s="36">
        <f t="shared" ref="V4" si="17">IF(U4="Bartender",(HLOOKUP(T4,WedFoodTable,6)*O4)+(HLOOKUP(T4,WedHostTable,6)*O4)+X4,SUM(X4,Y4,Z4))</f>
        <v>0</v>
      </c>
      <c r="W4" s="36">
        <f t="shared" ref="W4" si="18">IFERROR(IF(U4="Bartender",(HLOOKUP(T4,WedBarTable,6)*O4)+V4,P4+V4),"")</f>
        <v>0</v>
      </c>
      <c r="X4" s="29">
        <f t="shared" ref="X4" si="19">IF(U4="Server",-R4*AlcoholTipPercentage,0)+IF(U4="Bartender",HLOOKUP(T4,WedBarTable,5)*O4)</f>
        <v>0</v>
      </c>
      <c r="Y4" s="29" t="str" cm="1">
        <f t="array" ref="Y4">IFERROR(_xlfn.IFS(HLOOKUP(T4,WedFoodTable,2)=0,0,OR(U4="Server",U4="Bartender"),-Q4*FoodTipPercentage,OR(U4="Expo",U4="Food Runner"),HLOOKUP(T4,WedFoodTable,5)*O4,U4="Host",0),"")</f>
        <v/>
      </c>
      <c r="Z4" s="29" t="str" cm="1">
        <f t="array" ref="Z4">IFERROR(_xlfn.IFS(HLOOKUP(T4,WedHostTable,2)=0,0,OR(U4="Server",U4="Bartender"),-S4*HostTipPercentage,U4="Host",HLOOKUP(T4,WedHostTable,5)*O4,OR(U4="Expo",U4="Food Runner"),0),"")</f>
        <v/>
      </c>
      <c r="AA4" s="59"/>
      <c r="AB4" s="60"/>
      <c r="AC4" s="59"/>
      <c r="AD4" s="59"/>
      <c r="AE4" s="59"/>
      <c r="AF4" s="37">
        <f t="shared" ref="AF4:AF19" si="20">AE4+AD4</f>
        <v>0</v>
      </c>
      <c r="AG4" s="59"/>
      <c r="AH4" s="59"/>
      <c r="AI4" s="37">
        <f t="shared" ref="AI4" si="21">IF(AH4="Bartender",(HLOOKUP(AG4,FriFoodTable,6)*AB4)+(HLOOKUP(AG4,FriHostTable,6)*AB4)+AK4,SUM(AK4,AL4,AM4))</f>
        <v>0</v>
      </c>
      <c r="AJ4" s="37">
        <f t="shared" ref="AJ4" si="22">IFERROR(IF(AH4="Bartender",(HLOOKUP(AG4,FriBarTable,6)*AB4)+AI4,AC4+AI4),"")</f>
        <v>0</v>
      </c>
      <c r="AK4" s="29">
        <f t="shared" ref="AK4" si="23">IF(AH4="Server",-AE4*AlcoholTipPercentage,0)+IF(AH4="Bartender",HLOOKUP(AG4,FriBarTable,5)*AB4)</f>
        <v>0</v>
      </c>
      <c r="AL4" s="29" t="str" cm="1">
        <f t="array" ref="AL4">IFERROR(_xlfn.IFS(HLOOKUP(AG4,FriFoodTable,2)=0,0,OR(AH4="Server",AH4="Bartender"),-AD4*FoodTipPercentage,OR(AH4="Expo",AH4="Food Runner"),HLOOKUP(AG4,FriFoodTable,5)*AB4,AH4="Host",0),"")</f>
        <v/>
      </c>
      <c r="AM4" s="29" t="str" cm="1">
        <f t="array" ref="AM4">IFERROR(_xlfn.IFS(HLOOKUP(AG4,FriHostTable,2)=0,0,OR(AH4="Server",AH4="Bartender"),-AF4*HostTipPercentage,AH4="Host",HLOOKUP(AG4,FriHostTable,5)*AB4,OR(AH4="Expo",AH4="Food Runner"),0),"")</f>
        <v/>
      </c>
      <c r="AN4" s="57"/>
      <c r="AO4" s="58"/>
      <c r="AP4" s="57"/>
      <c r="AQ4" s="57"/>
      <c r="AR4" s="57"/>
      <c r="AS4" s="36">
        <f t="shared" ref="AS4:AS19" si="24">AR4+AQ4</f>
        <v>0</v>
      </c>
      <c r="AT4" s="57"/>
      <c r="AU4" s="57"/>
      <c r="AV4" s="36">
        <f t="shared" ref="AV4" si="25">IF(AU4="Bartender",(HLOOKUP(AT4,SunFoodTable,6)*AO4)+(HLOOKUP(AT4,SunHostTable,6)*AO4)+AX4,SUM(AX4,AY4,AZ4))</f>
        <v>0</v>
      </c>
      <c r="AW4" s="36">
        <f t="shared" ref="AW4" si="26">IFERROR(IF(AU4="Bartender",(HLOOKUP(AT4,SunBarTable,6)*AO4)+AV4,AP4+AV4),"")</f>
        <v>0</v>
      </c>
      <c r="AX4" s="29">
        <f t="shared" ref="AX4" si="27">IF(AU4="Server",-AR4*AlcoholTipPercentage,0)+IF(AU4="Bartender",HLOOKUP(AT4,SunBarTable,5)*AO4)</f>
        <v>0</v>
      </c>
      <c r="AY4" s="29" t="str" cm="1">
        <f t="array" ref="AY4">IFERROR(_xlfn.IFS(HLOOKUP(AT4,SunFoodTable,2)=0,0,OR(AU4="Server",AU4="Bartender"),-AQ4*FoodTipPercentage,OR(AU4="Expo",AU4="Food Runner"),HLOOKUP(AT4,SunFoodTable,5)*AO4,AU4="Host",0),"")</f>
        <v/>
      </c>
      <c r="AZ4" s="29" t="str" cm="1">
        <f t="array" ref="AZ4">IFERROR(_xlfn.IFS(HLOOKUP(AT4,SunHostTable,2)=0,0,OR(AU4="Server",AU4="Bartender"),-AS4*HostTipPercentage,AU4="Host",HLOOKUP(AT4,SunHostTable,5)*AO4,OR(AU4="Expo",AU4="Food Runner"),0),"")</f>
        <v/>
      </c>
    </row>
    <row r="5" spans="1:60" x14ac:dyDescent="0.2">
      <c r="A5" s="55"/>
      <c r="B5" s="56"/>
      <c r="C5" s="55"/>
      <c r="D5" s="55"/>
      <c r="E5" s="55"/>
      <c r="F5" s="38">
        <f t="shared" si="12"/>
        <v>0</v>
      </c>
      <c r="G5" s="55"/>
      <c r="H5" s="55"/>
      <c r="I5" s="38">
        <f t="shared" ref="I5" si="28">IF(H5="Bartender",(HLOOKUP(G5,MonFoodTable,6)*B5)+(HLOOKUP(G5,MonHostTable,6)*B5)+K5,SUM(K5,L5,M5))</f>
        <v>0</v>
      </c>
      <c r="J5" s="38">
        <f t="shared" ref="J5" si="29">IFERROR(IF(H5="Bartender",(HLOOKUP(G5,MonBarTable,6)*B5)+I5,C5+I5),"")</f>
        <v>0</v>
      </c>
      <c r="K5" s="29">
        <f t="shared" ref="K5" si="30">IF(H5="Server",-E5*AlcoholTipPercentage,0)+IF(H5="Bartender",HLOOKUP(G5,MonBarTable,5)*B5)</f>
        <v>0</v>
      </c>
      <c r="L5" s="29" t="str" cm="1">
        <f t="array" ref="L5">IFERROR(_xlfn.IFS(HLOOKUP(G5,MonFoodTable,2)=0,0,OR(H5="Server",H5="Bartender"),-D5*FoodTipPercentage,OR(H5="Expo",H5="Food Runner"),HLOOKUP(G5,MonFoodTable,5)*B5,H5="Host",0),"")</f>
        <v/>
      </c>
      <c r="M5" s="29" t="str" cm="1">
        <f t="array" ref="M5">IFERROR(_xlfn.IFS(HLOOKUP(G5,MonHostTable,2)=0,0,OR(H5="Server",H5="Bartender"),-F5*HostTipPercentage,H5="Host",HLOOKUP(G5,MonHostTable,5)*B5,OR(H5="Expo",H5="Food Runner"),0),"")</f>
        <v/>
      </c>
      <c r="N5" s="57"/>
      <c r="O5" s="58"/>
      <c r="P5" s="57"/>
      <c r="Q5" s="57"/>
      <c r="R5" s="57"/>
      <c r="S5" s="36">
        <f t="shared" si="16"/>
        <v>0</v>
      </c>
      <c r="T5" s="57"/>
      <c r="U5" s="57"/>
      <c r="V5" s="36">
        <f t="shared" ref="V5" si="31">IF(U5="Bartender",(HLOOKUP(T5,WedFoodTable,6)*O5)+(HLOOKUP(T5,WedHostTable,6)*O5)+X5,SUM(X5,Y5,Z5))</f>
        <v>0</v>
      </c>
      <c r="W5" s="36">
        <f t="shared" ref="W5" si="32">IFERROR(IF(U5="Bartender",(HLOOKUP(T5,WedBarTable,6)*O5)+V5,P5+V5),"")</f>
        <v>0</v>
      </c>
      <c r="X5" s="29">
        <f t="shared" ref="X5" si="33">IF(U5="Server",-R5*AlcoholTipPercentage,0)+IF(U5="Bartender",HLOOKUP(T5,WedBarTable,5)*O5)</f>
        <v>0</v>
      </c>
      <c r="Y5" s="29" t="str" cm="1">
        <f t="array" ref="Y5">IFERROR(_xlfn.IFS(HLOOKUP(T5,WedFoodTable,2)=0,0,OR(U5="Server",U5="Bartender"),-Q5*FoodTipPercentage,OR(U5="Expo",U5="Food Runner"),HLOOKUP(T5,WedFoodTable,5)*O5,U5="Host",0),"")</f>
        <v/>
      </c>
      <c r="Z5" s="29" t="str" cm="1">
        <f t="array" ref="Z5">IFERROR(_xlfn.IFS(HLOOKUP(T5,WedHostTable,2)=0,0,OR(U5="Server",U5="Bartender"),-S5*HostTipPercentage,U5="Host",HLOOKUP(T5,WedHostTable,5)*O5,OR(U5="Expo",U5="Food Runner"),0),"")</f>
        <v/>
      </c>
      <c r="AA5" s="59"/>
      <c r="AB5" s="60"/>
      <c r="AC5" s="59"/>
      <c r="AD5" s="59"/>
      <c r="AE5" s="59"/>
      <c r="AF5" s="37">
        <f t="shared" si="20"/>
        <v>0</v>
      </c>
      <c r="AG5" s="59"/>
      <c r="AH5" s="59"/>
      <c r="AI5" s="37">
        <f t="shared" ref="AI5" si="34">IF(AH5="Bartender",(HLOOKUP(AG5,FriFoodTable,6)*AB5)+(HLOOKUP(AG5,FriHostTable,6)*AB5)+AK5,SUM(AK5,AL5,AM5))</f>
        <v>0</v>
      </c>
      <c r="AJ5" s="37">
        <f t="shared" ref="AJ5" si="35">IFERROR(IF(AH5="Bartender",(HLOOKUP(AG5,FriBarTable,6)*AB5)+AI5,AC5+AI5),"")</f>
        <v>0</v>
      </c>
      <c r="AK5" s="29">
        <f t="shared" ref="AK5" si="36">IF(AH5="Server",-AE5*AlcoholTipPercentage,0)+IF(AH5="Bartender",HLOOKUP(AG5,FriBarTable,5)*AB5)</f>
        <v>0</v>
      </c>
      <c r="AL5" s="29" t="str" cm="1">
        <f t="array" ref="AL5">IFERROR(_xlfn.IFS(HLOOKUP(AG5,FriFoodTable,2)=0,0,OR(AH5="Server",AH5="Bartender"),-AD5*FoodTipPercentage,OR(AH5="Expo",AH5="Food Runner"),HLOOKUP(AG5,FriFoodTable,5)*AB5,AH5="Host",0),"")</f>
        <v/>
      </c>
      <c r="AM5" s="29" t="str" cm="1">
        <f t="array" ref="AM5">IFERROR(_xlfn.IFS(HLOOKUP(AG5,FriHostTable,2)=0,0,OR(AH5="Server",AH5="Bartender"),-AF5*HostTipPercentage,AH5="Host",HLOOKUP(AG5,FriHostTable,5)*AB5,OR(AH5="Expo",AH5="Food Runner"),0),"")</f>
        <v/>
      </c>
      <c r="AN5" s="57"/>
      <c r="AO5" s="58"/>
      <c r="AP5" s="57"/>
      <c r="AQ5" s="57"/>
      <c r="AR5" s="57"/>
      <c r="AS5" s="36">
        <f t="shared" si="24"/>
        <v>0</v>
      </c>
      <c r="AT5" s="57"/>
      <c r="AU5" s="57"/>
      <c r="AV5" s="36">
        <f t="shared" ref="AV5" si="37">IF(AU5="Bartender",(HLOOKUP(AT5,SunFoodTable,6)*AO5)+(HLOOKUP(AT5,SunHostTable,6)*AO5)+AX5,SUM(AX5,AY5,AZ5))</f>
        <v>0</v>
      </c>
      <c r="AW5" s="36">
        <f t="shared" ref="AW5" si="38">IFERROR(IF(AU5="Bartender",(HLOOKUP(AT5,SunBarTable,6)*AO5)+AV5,AP5+AV5),"")</f>
        <v>0</v>
      </c>
      <c r="AX5" s="29">
        <f t="shared" ref="AX5" si="39">IF(AU5="Server",-AR5*AlcoholTipPercentage,0)+IF(AU5="Bartender",HLOOKUP(AT5,SunBarTable,5)*AO5)</f>
        <v>0</v>
      </c>
      <c r="AY5" s="29" t="str" cm="1">
        <f t="array" ref="AY5">IFERROR(_xlfn.IFS(HLOOKUP(AT5,SunFoodTable,2)=0,0,OR(AU5="Server",AU5="Bartender"),-AQ5*FoodTipPercentage,OR(AU5="Expo",AU5="Food Runner"),HLOOKUP(AT5,SunFoodTable,5)*AO5,AU5="Host",0),"")</f>
        <v/>
      </c>
      <c r="AZ5" s="29" t="str" cm="1">
        <f t="array" ref="AZ5">IFERROR(_xlfn.IFS(HLOOKUP(AT5,SunHostTable,2)=0,0,OR(AU5="Server",AU5="Bartender"),-AS5*HostTipPercentage,AU5="Host",HLOOKUP(AT5,SunHostTable,5)*AO5,OR(AU5="Expo",AU5="Food Runner"),0),"")</f>
        <v/>
      </c>
    </row>
    <row r="6" spans="1:60" x14ac:dyDescent="0.2">
      <c r="A6" s="55"/>
      <c r="B6" s="56"/>
      <c r="C6" s="55"/>
      <c r="D6" s="55"/>
      <c r="E6" s="55"/>
      <c r="F6" s="38">
        <f t="shared" si="12"/>
        <v>0</v>
      </c>
      <c r="G6" s="55"/>
      <c r="H6" s="55"/>
      <c r="I6" s="38">
        <f t="shared" ref="I6" si="40">IF(H6="Bartender",(HLOOKUP(G6,MonFoodTable,6)*B6)+(HLOOKUP(G6,MonHostTable,6)*B6)+K6,SUM(K6,L6,M6))</f>
        <v>0</v>
      </c>
      <c r="J6" s="38">
        <f t="shared" ref="J6" si="41">IFERROR(IF(H6="Bartender",(HLOOKUP(G6,MonBarTable,6)*B6)+I6,C6+I6),"")</f>
        <v>0</v>
      </c>
      <c r="K6" s="29">
        <f t="shared" ref="K6" si="42">IF(H6="Server",-E6*AlcoholTipPercentage,0)+IF(H6="Bartender",HLOOKUP(G6,MonBarTable,5)*B6)</f>
        <v>0</v>
      </c>
      <c r="L6" s="29" t="str" cm="1">
        <f t="array" ref="L6">IFERROR(_xlfn.IFS(HLOOKUP(G6,MonFoodTable,2)=0,0,OR(H6="Server",H6="Bartender"),-D6*FoodTipPercentage,OR(H6="Expo",H6="Food Runner"),HLOOKUP(G6,MonFoodTable,5)*B6,H6="Host",0),"")</f>
        <v/>
      </c>
      <c r="M6" s="29" t="str" cm="1">
        <f t="array" ref="M6">IFERROR(_xlfn.IFS(HLOOKUP(G6,MonHostTable,2)=0,0,OR(H6="Server",H6="Bartender"),-F6*HostTipPercentage,H6="Host",HLOOKUP(G6,MonHostTable,5)*B6,OR(H6="Expo",H6="Food Runner"),0),"")</f>
        <v/>
      </c>
      <c r="N6" s="57"/>
      <c r="O6" s="58"/>
      <c r="P6" s="57"/>
      <c r="Q6" s="57"/>
      <c r="R6" s="57"/>
      <c r="S6" s="36">
        <f t="shared" si="16"/>
        <v>0</v>
      </c>
      <c r="T6" s="57"/>
      <c r="U6" s="57"/>
      <c r="V6" s="36">
        <f t="shared" ref="V6" si="43">IF(U6="Bartender",(HLOOKUP(T6,WedFoodTable,6)*O6)+(HLOOKUP(T6,WedHostTable,6)*O6)+X6,SUM(X6,Y6,Z6))</f>
        <v>0</v>
      </c>
      <c r="W6" s="36">
        <f t="shared" ref="W6" si="44">IFERROR(IF(U6="Bartender",(HLOOKUP(T6,WedBarTable,6)*O6)+V6,P6+V6),"")</f>
        <v>0</v>
      </c>
      <c r="X6" s="29">
        <f t="shared" ref="X6" si="45">IF(U6="Server",-R6*AlcoholTipPercentage,0)+IF(U6="Bartender",HLOOKUP(T6,WedBarTable,5)*O6)</f>
        <v>0</v>
      </c>
      <c r="Y6" s="29" t="str" cm="1">
        <f t="array" ref="Y6">IFERROR(_xlfn.IFS(HLOOKUP(T6,WedFoodTable,2)=0,0,OR(U6="Server",U6="Bartender"),-Q6*FoodTipPercentage,OR(U6="Expo",U6="Food Runner"),HLOOKUP(T6,WedFoodTable,5)*O6,U6="Host",0),"")</f>
        <v/>
      </c>
      <c r="Z6" s="29" t="str" cm="1">
        <f t="array" ref="Z6">IFERROR(_xlfn.IFS(HLOOKUP(T6,WedHostTable,2)=0,0,OR(U6="Server",U6="Bartender"),-S6*HostTipPercentage,U6="Host",HLOOKUP(T6,WedHostTable,5)*O6,OR(U6="Expo",U6="Food Runner"),0),"")</f>
        <v/>
      </c>
      <c r="AA6" s="59"/>
      <c r="AB6" s="60"/>
      <c r="AC6" s="59"/>
      <c r="AD6" s="59"/>
      <c r="AE6" s="59"/>
      <c r="AF6" s="37">
        <f t="shared" si="20"/>
        <v>0</v>
      </c>
      <c r="AG6" s="59"/>
      <c r="AH6" s="59"/>
      <c r="AI6" s="37">
        <f t="shared" ref="AI6" si="46">IF(AH6="Bartender",(HLOOKUP(AG6,FriFoodTable,6)*AB6)+(HLOOKUP(AG6,FriHostTable,6)*AB6)+AK6,SUM(AK6,AL6,AM6))</f>
        <v>0</v>
      </c>
      <c r="AJ6" s="37">
        <f t="shared" ref="AJ6" si="47">IFERROR(IF(AH6="Bartender",(HLOOKUP(AG6,FriBarTable,6)*AB6)+AI6,AC6+AI6),"")</f>
        <v>0</v>
      </c>
      <c r="AK6" s="29">
        <f t="shared" ref="AK6" si="48">IF(AH6="Server",-AE6*AlcoholTipPercentage,0)+IF(AH6="Bartender",HLOOKUP(AG6,FriBarTable,5)*AB6)</f>
        <v>0</v>
      </c>
      <c r="AL6" s="29" t="str" cm="1">
        <f t="array" ref="AL6">IFERROR(_xlfn.IFS(HLOOKUP(AG6,FriFoodTable,2)=0,0,OR(AH6="Server",AH6="Bartender"),-AD6*FoodTipPercentage,OR(AH6="Expo",AH6="Food Runner"),HLOOKUP(AG6,FriFoodTable,5)*AB6,AH6="Host",0),"")</f>
        <v/>
      </c>
      <c r="AM6" s="29" t="str" cm="1">
        <f t="array" ref="AM6">IFERROR(_xlfn.IFS(HLOOKUP(AG6,FriHostTable,2)=0,0,OR(AH6="Server",AH6="Bartender"),-AF6*HostTipPercentage,AH6="Host",HLOOKUP(AG6,FriHostTable,5)*AB6,OR(AH6="Expo",AH6="Food Runner"),0),"")</f>
        <v/>
      </c>
      <c r="AN6" s="57"/>
      <c r="AO6" s="58"/>
      <c r="AP6" s="57"/>
      <c r="AQ6" s="57"/>
      <c r="AR6" s="57"/>
      <c r="AS6" s="36">
        <f t="shared" si="24"/>
        <v>0</v>
      </c>
      <c r="AT6" s="57"/>
      <c r="AU6" s="57"/>
      <c r="AV6" s="36">
        <f t="shared" ref="AV6" si="49">IF(AU6="Bartender",(HLOOKUP(AT6,SunFoodTable,6)*AO6)+(HLOOKUP(AT6,SunHostTable,6)*AO6)+AX6,SUM(AX6,AY6,AZ6))</f>
        <v>0</v>
      </c>
      <c r="AW6" s="36">
        <f t="shared" ref="AW6" si="50">IFERROR(IF(AU6="Bartender",(HLOOKUP(AT6,SunBarTable,6)*AO6)+AV6,AP6+AV6),"")</f>
        <v>0</v>
      </c>
      <c r="AX6" s="29">
        <f t="shared" ref="AX6" si="51">IF(AU6="Server",-AR6*AlcoholTipPercentage,0)+IF(AU6="Bartender",HLOOKUP(AT6,SunBarTable,5)*AO6)</f>
        <v>0</v>
      </c>
      <c r="AY6" s="29" t="str" cm="1">
        <f t="array" ref="AY6">IFERROR(_xlfn.IFS(HLOOKUP(AT6,SunFoodTable,2)=0,0,OR(AU6="Server",AU6="Bartender"),-AQ6*FoodTipPercentage,OR(AU6="Expo",AU6="Food Runner"),HLOOKUP(AT6,SunFoodTable,5)*AO6,AU6="Host",0),"")</f>
        <v/>
      </c>
      <c r="AZ6" s="29" t="str" cm="1">
        <f t="array" ref="AZ6">IFERROR(_xlfn.IFS(HLOOKUP(AT6,SunHostTable,2)=0,0,OR(AU6="Server",AU6="Bartender"),-AS6*HostTipPercentage,AU6="Host",HLOOKUP(AT6,SunHostTable,5)*AO6,OR(AU6="Expo",AU6="Food Runner"),0),"")</f>
        <v/>
      </c>
    </row>
    <row r="7" spans="1:60" x14ac:dyDescent="0.2">
      <c r="A7" s="55"/>
      <c r="B7" s="56"/>
      <c r="C7" s="55"/>
      <c r="D7" s="55"/>
      <c r="E7" s="55"/>
      <c r="F7" s="38">
        <f t="shared" si="12"/>
        <v>0</v>
      </c>
      <c r="G7" s="55"/>
      <c r="H7" s="55"/>
      <c r="I7" s="38">
        <f t="shared" ref="I7" si="52">IF(H7="Bartender",(HLOOKUP(G7,MonFoodTable,6)*B7)+(HLOOKUP(G7,MonHostTable,6)*B7)+K7,SUM(K7,L7,M7))</f>
        <v>0</v>
      </c>
      <c r="J7" s="38">
        <f t="shared" ref="J7" si="53">IFERROR(IF(H7="Bartender",(HLOOKUP(G7,MonBarTable,6)*B7)+I7,C7+I7),"")</f>
        <v>0</v>
      </c>
      <c r="K7" s="29">
        <f t="shared" ref="K7" si="54">IF(H7="Server",-E7*AlcoholTipPercentage,0)+IF(H7="Bartender",HLOOKUP(G7,MonBarTable,5)*B7)</f>
        <v>0</v>
      </c>
      <c r="L7" s="29" t="str" cm="1">
        <f t="array" ref="L7">IFERROR(_xlfn.IFS(HLOOKUP(G7,MonFoodTable,2)=0,0,OR(H7="Server",H7="Bartender"),-D7*FoodTipPercentage,OR(H7="Expo",H7="Food Runner"),HLOOKUP(G7,MonFoodTable,5)*B7,H7="Host",0),"")</f>
        <v/>
      </c>
      <c r="M7" s="29" t="str" cm="1">
        <f t="array" ref="M7">IFERROR(_xlfn.IFS(HLOOKUP(G7,MonHostTable,2)=0,0,OR(H7="Server",H7="Bartender"),-F7*HostTipPercentage,H7="Host",HLOOKUP(G7,MonHostTable,5)*B7,OR(H7="Expo",H7="Food Runner"),0),"")</f>
        <v/>
      </c>
      <c r="N7" s="57"/>
      <c r="O7" s="58"/>
      <c r="P7" s="57"/>
      <c r="Q7" s="57"/>
      <c r="R7" s="57"/>
      <c r="S7" s="36">
        <f t="shared" si="16"/>
        <v>0</v>
      </c>
      <c r="T7" s="57"/>
      <c r="U7" s="57"/>
      <c r="V7" s="36">
        <f t="shared" ref="V7" si="55">IF(U7="Bartender",(HLOOKUP(T7,WedFoodTable,6)*O7)+(HLOOKUP(T7,WedHostTable,6)*O7)+X7,SUM(X7,Y7,Z7))</f>
        <v>0</v>
      </c>
      <c r="W7" s="36">
        <f t="shared" ref="W7" si="56">IFERROR(IF(U7="Bartender",(HLOOKUP(T7,WedBarTable,6)*O7)+V7,P7+V7),"")</f>
        <v>0</v>
      </c>
      <c r="X7" s="29">
        <f t="shared" ref="X7" si="57">IF(U7="Server",-R7*AlcoholTipPercentage,0)+IF(U7="Bartender",HLOOKUP(T7,WedBarTable,5)*O7)</f>
        <v>0</v>
      </c>
      <c r="Y7" s="29" t="str" cm="1">
        <f t="array" ref="Y7">IFERROR(_xlfn.IFS(HLOOKUP(T7,WedFoodTable,2)=0,0,OR(U7="Server",U7="Bartender"),-Q7*FoodTipPercentage,OR(U7="Expo",U7="Food Runner"),HLOOKUP(T7,WedFoodTable,5)*O7,U7="Host",0),"")</f>
        <v/>
      </c>
      <c r="Z7" s="29" t="str" cm="1">
        <f t="array" ref="Z7">IFERROR(_xlfn.IFS(HLOOKUP(T7,WedHostTable,2)=0,0,OR(U7="Server",U7="Bartender"),-S7*HostTipPercentage,U7="Host",HLOOKUP(T7,WedHostTable,5)*O7,OR(U7="Expo",U7="Food Runner"),0),"")</f>
        <v/>
      </c>
      <c r="AA7" s="59"/>
      <c r="AB7" s="60"/>
      <c r="AC7" s="59"/>
      <c r="AD7" s="59"/>
      <c r="AE7" s="59"/>
      <c r="AF7" s="37">
        <f t="shared" si="20"/>
        <v>0</v>
      </c>
      <c r="AG7" s="59"/>
      <c r="AH7" s="59"/>
      <c r="AI7" s="37">
        <f t="shared" ref="AI7" si="58">IF(AH7="Bartender",(HLOOKUP(AG7,FriFoodTable,6)*AB7)+(HLOOKUP(AG7,FriHostTable,6)*AB7)+AK7,SUM(AK7,AL7,AM7))</f>
        <v>0</v>
      </c>
      <c r="AJ7" s="37">
        <f t="shared" ref="AJ7" si="59">IFERROR(IF(AH7="Bartender",(HLOOKUP(AG7,FriBarTable,6)*AB7)+AI7,AC7+AI7),"")</f>
        <v>0</v>
      </c>
      <c r="AK7" s="29">
        <f t="shared" ref="AK7" si="60">IF(AH7="Server",-AE7*AlcoholTipPercentage,0)+IF(AH7="Bartender",HLOOKUP(AG7,FriBarTable,5)*AB7)</f>
        <v>0</v>
      </c>
      <c r="AL7" s="29" t="str" cm="1">
        <f t="array" ref="AL7">IFERROR(_xlfn.IFS(HLOOKUP(AG7,FriFoodTable,2)=0,0,OR(AH7="Server",AH7="Bartender"),-AD7*FoodTipPercentage,OR(AH7="Expo",AH7="Food Runner"),HLOOKUP(AG7,FriFoodTable,5)*AB7,AH7="Host",0),"")</f>
        <v/>
      </c>
      <c r="AM7" s="29" t="str" cm="1">
        <f t="array" ref="AM7">IFERROR(_xlfn.IFS(HLOOKUP(AG7,FriHostTable,2)=0,0,OR(AH7="Server",AH7="Bartender"),-AF7*HostTipPercentage,AH7="Host",HLOOKUP(AG7,FriHostTable,5)*AB7,OR(AH7="Expo",AH7="Food Runner"),0),"")</f>
        <v/>
      </c>
      <c r="AN7" s="57"/>
      <c r="AO7" s="58"/>
      <c r="AP7" s="57"/>
      <c r="AQ7" s="57"/>
      <c r="AR7" s="57"/>
      <c r="AS7" s="36">
        <f t="shared" si="24"/>
        <v>0</v>
      </c>
      <c r="AT7" s="57"/>
      <c r="AU7" s="57"/>
      <c r="AV7" s="36">
        <f t="shared" ref="AV7" si="61">IF(AU7="Bartender",(HLOOKUP(AT7,SunFoodTable,6)*AO7)+(HLOOKUP(AT7,SunHostTable,6)*AO7)+AX7,SUM(AX7,AY7,AZ7))</f>
        <v>0</v>
      </c>
      <c r="AW7" s="36">
        <f t="shared" ref="AW7" si="62">IFERROR(IF(AU7="Bartender",(HLOOKUP(AT7,SunBarTable,6)*AO7)+AV7,AP7+AV7),"")</f>
        <v>0</v>
      </c>
      <c r="AX7" s="29">
        <f t="shared" ref="AX7" si="63">IF(AU7="Server",-AR7*AlcoholTipPercentage,0)+IF(AU7="Bartender",HLOOKUP(AT7,SunBarTable,5)*AO7)</f>
        <v>0</v>
      </c>
      <c r="AY7" s="29" t="str" cm="1">
        <f t="array" ref="AY7">IFERROR(_xlfn.IFS(HLOOKUP(AT7,SunFoodTable,2)=0,0,OR(AU7="Server",AU7="Bartender"),-AQ7*FoodTipPercentage,OR(AU7="Expo",AU7="Food Runner"),HLOOKUP(AT7,SunFoodTable,5)*AO7,AU7="Host",0),"")</f>
        <v/>
      </c>
      <c r="AZ7" s="29" t="str" cm="1">
        <f t="array" ref="AZ7">IFERROR(_xlfn.IFS(HLOOKUP(AT7,SunHostTable,2)=0,0,OR(AU7="Server",AU7="Bartender"),-AS7*HostTipPercentage,AU7="Host",HLOOKUP(AT7,SunHostTable,5)*AO7,OR(AU7="Expo",AU7="Food Runner"),0),"")</f>
        <v/>
      </c>
    </row>
    <row r="8" spans="1:60" x14ac:dyDescent="0.2">
      <c r="A8" s="55"/>
      <c r="B8" s="56"/>
      <c r="C8" s="55"/>
      <c r="D8" s="55"/>
      <c r="E8" s="55"/>
      <c r="F8" s="38">
        <f t="shared" si="12"/>
        <v>0</v>
      </c>
      <c r="G8" s="55"/>
      <c r="H8" s="55"/>
      <c r="I8" s="38">
        <f t="shared" ref="I8" si="64">IF(H8="Bartender",(HLOOKUP(G8,MonFoodTable,6)*B8)+(HLOOKUP(G8,MonHostTable,6)*B8)+K8,SUM(K8,L8,M8))</f>
        <v>0</v>
      </c>
      <c r="J8" s="38">
        <f t="shared" ref="J8" si="65">IFERROR(IF(H8="Bartender",(HLOOKUP(G8,MonBarTable,6)*B8)+I8,C8+I8),"")</f>
        <v>0</v>
      </c>
      <c r="K8" s="29">
        <f t="shared" ref="K8" si="66">IF(H8="Server",-E8*AlcoholTipPercentage,0)+IF(H8="Bartender",HLOOKUP(G8,MonBarTable,5)*B8)</f>
        <v>0</v>
      </c>
      <c r="L8" s="29" t="str" cm="1">
        <f t="array" ref="L8">IFERROR(_xlfn.IFS(HLOOKUP(G8,MonFoodTable,2)=0,0,OR(H8="Server",H8="Bartender"),-D8*FoodTipPercentage,OR(H8="Expo",H8="Food Runner"),HLOOKUP(G8,MonFoodTable,5)*B8,H8="Host",0),"")</f>
        <v/>
      </c>
      <c r="M8" s="29" t="str" cm="1">
        <f t="array" ref="M8">IFERROR(_xlfn.IFS(HLOOKUP(G8,MonHostTable,2)=0,0,OR(H8="Server",H8="Bartender"),-F8*HostTipPercentage,H8="Host",HLOOKUP(G8,MonHostTable,5)*B8,OR(H8="Expo",H8="Food Runner"),0),"")</f>
        <v/>
      </c>
      <c r="N8" s="57"/>
      <c r="O8" s="58"/>
      <c r="P8" s="57"/>
      <c r="Q8" s="57"/>
      <c r="R8" s="57"/>
      <c r="S8" s="36">
        <f t="shared" si="16"/>
        <v>0</v>
      </c>
      <c r="T8" s="57"/>
      <c r="U8" s="57"/>
      <c r="V8" s="36">
        <f t="shared" ref="V8" si="67">IF(U8="Bartender",(HLOOKUP(T8,WedFoodTable,6)*O8)+(HLOOKUP(T8,WedHostTable,6)*O8)+X8,SUM(X8,Y8,Z8))</f>
        <v>0</v>
      </c>
      <c r="W8" s="36">
        <f t="shared" ref="W8" si="68">IFERROR(IF(U8="Bartender",(HLOOKUP(T8,WedBarTable,6)*O8)+V8,P8+V8),"")</f>
        <v>0</v>
      </c>
      <c r="X8" s="29">
        <f t="shared" ref="X8" si="69">IF(U8="Server",-R8*AlcoholTipPercentage,0)+IF(U8="Bartender",HLOOKUP(T8,WedBarTable,5)*O8)</f>
        <v>0</v>
      </c>
      <c r="Y8" s="29" t="str" cm="1">
        <f t="array" ref="Y8">IFERROR(_xlfn.IFS(HLOOKUP(T8,WedFoodTable,2)=0,0,OR(U8="Server",U8="Bartender"),-Q8*FoodTipPercentage,OR(U8="Expo",U8="Food Runner"),HLOOKUP(T8,WedFoodTable,5)*O8,U8="Host",0),"")</f>
        <v/>
      </c>
      <c r="Z8" s="29" t="str" cm="1">
        <f t="array" ref="Z8">IFERROR(_xlfn.IFS(HLOOKUP(T8,WedHostTable,2)=0,0,OR(U8="Server",U8="Bartender"),-S8*HostTipPercentage,U8="Host",HLOOKUP(T8,WedHostTable,5)*O8,OR(U8="Expo",U8="Food Runner"),0),"")</f>
        <v/>
      </c>
      <c r="AA8" s="59"/>
      <c r="AB8" s="60"/>
      <c r="AC8" s="59"/>
      <c r="AD8" s="59"/>
      <c r="AE8" s="59"/>
      <c r="AF8" s="37">
        <f t="shared" si="20"/>
        <v>0</v>
      </c>
      <c r="AG8" s="59"/>
      <c r="AH8" s="59"/>
      <c r="AI8" s="37">
        <f t="shared" ref="AI8" si="70">IF(AH8="Bartender",(HLOOKUP(AG8,FriFoodTable,6)*AB8)+(HLOOKUP(AG8,FriHostTable,6)*AB8)+AK8,SUM(AK8,AL8,AM8))</f>
        <v>0</v>
      </c>
      <c r="AJ8" s="37">
        <f t="shared" ref="AJ8" si="71">IFERROR(IF(AH8="Bartender",(HLOOKUP(AG8,FriBarTable,6)*AB8)+AI8,AC8+AI8),"")</f>
        <v>0</v>
      </c>
      <c r="AK8" s="29">
        <f t="shared" ref="AK8" si="72">IF(AH8="Server",-AE8*AlcoholTipPercentage,0)+IF(AH8="Bartender",HLOOKUP(AG8,FriBarTable,5)*AB8)</f>
        <v>0</v>
      </c>
      <c r="AL8" s="29" t="str" cm="1">
        <f t="array" ref="AL8">IFERROR(_xlfn.IFS(HLOOKUP(AG8,FriFoodTable,2)=0,0,OR(AH8="Server",AH8="Bartender"),-AD8*FoodTipPercentage,OR(AH8="Expo",AH8="Food Runner"),HLOOKUP(AG8,FriFoodTable,5)*AB8,AH8="Host",0),"")</f>
        <v/>
      </c>
      <c r="AM8" s="29" t="str" cm="1">
        <f t="array" ref="AM8">IFERROR(_xlfn.IFS(HLOOKUP(AG8,FriHostTable,2)=0,0,OR(AH8="Server",AH8="Bartender"),-AF8*HostTipPercentage,AH8="Host",HLOOKUP(AG8,FriHostTable,5)*AB8,OR(AH8="Expo",AH8="Food Runner"),0),"")</f>
        <v/>
      </c>
      <c r="AN8" s="57"/>
      <c r="AO8" s="58"/>
      <c r="AP8" s="57"/>
      <c r="AQ8" s="57"/>
      <c r="AR8" s="57"/>
      <c r="AS8" s="36">
        <f t="shared" si="24"/>
        <v>0</v>
      </c>
      <c r="AT8" s="57"/>
      <c r="AU8" s="57"/>
      <c r="AV8" s="36">
        <f t="shared" ref="AV8" si="73">IF(AU8="Bartender",(HLOOKUP(AT8,SunFoodTable,6)*AO8)+(HLOOKUP(AT8,SunHostTable,6)*AO8)+AX8,SUM(AX8,AY8,AZ8))</f>
        <v>0</v>
      </c>
      <c r="AW8" s="36">
        <f t="shared" ref="AW8" si="74">IFERROR(IF(AU8="Bartender",(HLOOKUP(AT8,SunBarTable,6)*AO8)+AV8,AP8+AV8),"")</f>
        <v>0</v>
      </c>
      <c r="AX8" s="29">
        <f t="shared" ref="AX8" si="75">IF(AU8="Server",-AR8*AlcoholTipPercentage,0)+IF(AU8="Bartender",HLOOKUP(AT8,SunBarTable,5)*AO8)</f>
        <v>0</v>
      </c>
      <c r="AY8" s="29" t="str" cm="1">
        <f t="array" ref="AY8">IFERROR(_xlfn.IFS(HLOOKUP(AT8,SunFoodTable,2)=0,0,OR(AU8="Server",AU8="Bartender"),-AQ8*FoodTipPercentage,OR(AU8="Expo",AU8="Food Runner"),HLOOKUP(AT8,SunFoodTable,5)*AO8,AU8="Host",0),"")</f>
        <v/>
      </c>
      <c r="AZ8" s="29" t="str" cm="1">
        <f t="array" ref="AZ8">IFERROR(_xlfn.IFS(HLOOKUP(AT8,SunHostTable,2)=0,0,OR(AU8="Server",AU8="Bartender"),-AS8*HostTipPercentage,AU8="Host",HLOOKUP(AT8,SunHostTable,5)*AO8,OR(AU8="Expo",AU8="Food Runner"),0),"")</f>
        <v/>
      </c>
    </row>
    <row r="9" spans="1:60" x14ac:dyDescent="0.2">
      <c r="A9" s="55"/>
      <c r="B9" s="56"/>
      <c r="C9" s="55"/>
      <c r="D9" s="55"/>
      <c r="E9" s="55"/>
      <c r="F9" s="38">
        <f t="shared" si="12"/>
        <v>0</v>
      </c>
      <c r="G9" s="55"/>
      <c r="H9" s="55"/>
      <c r="I9" s="38">
        <f t="shared" ref="I9" si="76">IF(H9="Bartender",(HLOOKUP(G9,MonFoodTable,6)*B9)+(HLOOKUP(G9,MonHostTable,6)*B9)+K9,SUM(K9,L9,M9))</f>
        <v>0</v>
      </c>
      <c r="J9" s="38">
        <f t="shared" ref="J9" si="77">IFERROR(IF(H9="Bartender",(HLOOKUP(G9,MonBarTable,6)*B9)+I9,C9+I9),"")</f>
        <v>0</v>
      </c>
      <c r="K9" s="29">
        <f t="shared" ref="K9" si="78">IF(H9="Server",-E9*AlcoholTipPercentage,0)+IF(H9="Bartender",HLOOKUP(G9,MonBarTable,5)*B9)</f>
        <v>0</v>
      </c>
      <c r="L9" s="29" t="str" cm="1">
        <f t="array" ref="L9">IFERROR(_xlfn.IFS(HLOOKUP(G9,MonFoodTable,2)=0,0,OR(H9="Server",H9="Bartender"),-D9*FoodTipPercentage,OR(H9="Expo",H9="Food Runner"),HLOOKUP(G9,MonFoodTable,5)*B9,H9="Host",0),"")</f>
        <v/>
      </c>
      <c r="M9" s="29" t="str" cm="1">
        <f t="array" ref="M9">IFERROR(_xlfn.IFS(HLOOKUP(G9,MonHostTable,2)=0,0,OR(H9="Server",H9="Bartender"),-F9*HostTipPercentage,H9="Host",HLOOKUP(G9,MonHostTable,5)*B9,OR(H9="Expo",H9="Food Runner"),0),"")</f>
        <v/>
      </c>
      <c r="N9" s="57"/>
      <c r="O9" s="58"/>
      <c r="P9" s="57"/>
      <c r="Q9" s="57"/>
      <c r="R9" s="57"/>
      <c r="S9" s="36">
        <f t="shared" si="16"/>
        <v>0</v>
      </c>
      <c r="T9" s="57"/>
      <c r="U9" s="57"/>
      <c r="V9" s="36">
        <f t="shared" ref="V9" si="79">IF(U9="Bartender",(HLOOKUP(T9,WedFoodTable,6)*O9)+(HLOOKUP(T9,WedHostTable,6)*O9)+X9,SUM(X9,Y9,Z9))</f>
        <v>0</v>
      </c>
      <c r="W9" s="36">
        <f t="shared" ref="W9" si="80">IFERROR(IF(U9="Bartender",(HLOOKUP(T9,WedBarTable,6)*O9)+V9,P9+V9),"")</f>
        <v>0</v>
      </c>
      <c r="X9" s="29">
        <f t="shared" ref="X9" si="81">IF(U9="Server",-R9*AlcoholTipPercentage,0)+IF(U9="Bartender",HLOOKUP(T9,WedBarTable,5)*O9)</f>
        <v>0</v>
      </c>
      <c r="Y9" s="29" t="str" cm="1">
        <f t="array" ref="Y9">IFERROR(_xlfn.IFS(HLOOKUP(T9,WedFoodTable,2)=0,0,OR(U9="Server",U9="Bartender"),-Q9*FoodTipPercentage,OR(U9="Expo",U9="Food Runner"),HLOOKUP(T9,WedFoodTable,5)*O9,U9="Host",0),"")</f>
        <v/>
      </c>
      <c r="Z9" s="29" t="str" cm="1">
        <f t="array" ref="Z9">IFERROR(_xlfn.IFS(HLOOKUP(T9,WedHostTable,2)=0,0,OR(U9="Server",U9="Bartender"),-S9*HostTipPercentage,U9="Host",HLOOKUP(T9,WedHostTable,5)*O9,OR(U9="Expo",U9="Food Runner"),0),"")</f>
        <v/>
      </c>
      <c r="AA9" s="59"/>
      <c r="AB9" s="60"/>
      <c r="AC9" s="59"/>
      <c r="AD9" s="59"/>
      <c r="AE9" s="59"/>
      <c r="AF9" s="37">
        <f t="shared" si="20"/>
        <v>0</v>
      </c>
      <c r="AG9" s="59"/>
      <c r="AH9" s="59"/>
      <c r="AI9" s="37">
        <f t="shared" ref="AI9" si="82">IF(AH9="Bartender",(HLOOKUP(AG9,FriFoodTable,6)*AB9)+(HLOOKUP(AG9,FriHostTable,6)*AB9)+AK9,SUM(AK9,AL9,AM9))</f>
        <v>0</v>
      </c>
      <c r="AJ9" s="37">
        <f t="shared" ref="AJ9" si="83">IFERROR(IF(AH9="Bartender",(HLOOKUP(AG9,FriBarTable,6)*AB9)+AI9,AC9+AI9),"")</f>
        <v>0</v>
      </c>
      <c r="AK9" s="29">
        <f t="shared" ref="AK9" si="84">IF(AH9="Server",-AE9*AlcoholTipPercentage,0)+IF(AH9="Bartender",HLOOKUP(AG9,FriBarTable,5)*AB9)</f>
        <v>0</v>
      </c>
      <c r="AL9" s="29" t="str" cm="1">
        <f t="array" ref="AL9">IFERROR(_xlfn.IFS(HLOOKUP(AG9,FriFoodTable,2)=0,0,OR(AH9="Server",AH9="Bartender"),-AD9*FoodTipPercentage,OR(AH9="Expo",AH9="Food Runner"),HLOOKUP(AG9,FriFoodTable,5)*AB9,AH9="Host",0),"")</f>
        <v/>
      </c>
      <c r="AM9" s="29" t="str" cm="1">
        <f t="array" ref="AM9">IFERROR(_xlfn.IFS(HLOOKUP(AG9,FriHostTable,2)=0,0,OR(AH9="Server",AH9="Bartender"),-AF9*HostTipPercentage,AH9="Host",HLOOKUP(AG9,FriHostTable,5)*AB9,OR(AH9="Expo",AH9="Food Runner"),0),"")</f>
        <v/>
      </c>
      <c r="AN9" s="57"/>
      <c r="AO9" s="58"/>
      <c r="AP9" s="57"/>
      <c r="AQ9" s="57"/>
      <c r="AR9" s="57"/>
      <c r="AS9" s="36">
        <f t="shared" si="24"/>
        <v>0</v>
      </c>
      <c r="AT9" s="57"/>
      <c r="AU9" s="57"/>
      <c r="AV9" s="36">
        <f t="shared" ref="AV9" si="85">IF(AU9="Bartender",(HLOOKUP(AT9,SunFoodTable,6)*AO9)+(HLOOKUP(AT9,SunHostTable,6)*AO9)+AX9,SUM(AX9,AY9,AZ9))</f>
        <v>0</v>
      </c>
      <c r="AW9" s="36">
        <f t="shared" ref="AW9" si="86">IFERROR(IF(AU9="Bartender",(HLOOKUP(AT9,SunBarTable,6)*AO9)+AV9,AP9+AV9),"")</f>
        <v>0</v>
      </c>
      <c r="AX9" s="29">
        <f t="shared" ref="AX9" si="87">IF(AU9="Server",-AR9*AlcoholTipPercentage,0)+IF(AU9="Bartender",HLOOKUP(AT9,SunBarTable,5)*AO9)</f>
        <v>0</v>
      </c>
      <c r="AY9" s="29" t="str" cm="1">
        <f t="array" ref="AY9">IFERROR(_xlfn.IFS(HLOOKUP(AT9,SunFoodTable,2)=0,0,OR(AU9="Server",AU9="Bartender"),-AQ9*FoodTipPercentage,OR(AU9="Expo",AU9="Food Runner"),HLOOKUP(AT9,SunFoodTable,5)*AO9,AU9="Host",0),"")</f>
        <v/>
      </c>
      <c r="AZ9" s="29" t="str" cm="1">
        <f t="array" ref="AZ9">IFERROR(_xlfn.IFS(HLOOKUP(AT9,SunHostTable,2)=0,0,OR(AU9="Server",AU9="Bartender"),-AS9*HostTipPercentage,AU9="Host",HLOOKUP(AT9,SunHostTable,5)*AO9,OR(AU9="Expo",AU9="Food Runner"),0),"")</f>
        <v/>
      </c>
    </row>
    <row r="10" spans="1:60" x14ac:dyDescent="0.2">
      <c r="A10" s="55"/>
      <c r="B10" s="56"/>
      <c r="C10" s="55"/>
      <c r="D10" s="55"/>
      <c r="E10" s="55"/>
      <c r="F10" s="38">
        <f t="shared" si="12"/>
        <v>0</v>
      </c>
      <c r="G10" s="55"/>
      <c r="H10" s="55"/>
      <c r="I10" s="38">
        <f t="shared" ref="I10" si="88">IF(H10="Bartender",(HLOOKUP(G10,MonFoodTable,6)*B10)+(HLOOKUP(G10,MonHostTable,6)*B10)+K10,SUM(K10,L10,M10))</f>
        <v>0</v>
      </c>
      <c r="J10" s="38">
        <f t="shared" ref="J10" si="89">IFERROR(IF(H10="Bartender",(HLOOKUP(G10,MonBarTable,6)*B10)+I10,C10+I10),"")</f>
        <v>0</v>
      </c>
      <c r="K10" s="29">
        <f t="shared" ref="K10" si="90">IF(H10="Server",-E10*AlcoholTipPercentage,0)+IF(H10="Bartender",HLOOKUP(G10,MonBarTable,5)*B10)</f>
        <v>0</v>
      </c>
      <c r="L10" s="29" t="str" cm="1">
        <f t="array" ref="L10">IFERROR(_xlfn.IFS(HLOOKUP(G10,MonFoodTable,2)=0,0,OR(H10="Server",H10="Bartender"),-D10*FoodTipPercentage,OR(H10="Expo",H10="Food Runner"),HLOOKUP(G10,MonFoodTable,5)*B10,H10="Host",0),"")</f>
        <v/>
      </c>
      <c r="M10" s="29" t="str" cm="1">
        <f t="array" ref="M10">IFERROR(_xlfn.IFS(HLOOKUP(G10,MonHostTable,2)=0,0,OR(H10="Server",H10="Bartender"),-F10*HostTipPercentage,H10="Host",HLOOKUP(G10,MonHostTable,5)*B10,OR(H10="Expo",H10="Food Runner"),0),"")</f>
        <v/>
      </c>
      <c r="N10" s="57"/>
      <c r="O10" s="58"/>
      <c r="P10" s="57"/>
      <c r="Q10" s="57"/>
      <c r="R10" s="57"/>
      <c r="S10" s="36">
        <f t="shared" si="16"/>
        <v>0</v>
      </c>
      <c r="T10" s="57"/>
      <c r="U10" s="57"/>
      <c r="V10" s="36">
        <f t="shared" ref="V10" si="91">IF(U10="Bartender",(HLOOKUP(T10,WedFoodTable,6)*O10)+(HLOOKUP(T10,WedHostTable,6)*O10)+X10,SUM(X10,Y10,Z10))</f>
        <v>0</v>
      </c>
      <c r="W10" s="36">
        <f t="shared" ref="W10" si="92">IFERROR(IF(U10="Bartender",(HLOOKUP(T10,WedBarTable,6)*O10)+V10,P10+V10),"")</f>
        <v>0</v>
      </c>
      <c r="X10" s="29">
        <f t="shared" ref="X10" si="93">IF(U10="Server",-R10*AlcoholTipPercentage,0)+IF(U10="Bartender",HLOOKUP(T10,WedBarTable,5)*O10)</f>
        <v>0</v>
      </c>
      <c r="Y10" s="29" t="str" cm="1">
        <f t="array" ref="Y10">IFERROR(_xlfn.IFS(HLOOKUP(T10,WedFoodTable,2)=0,0,OR(U10="Server",U10="Bartender"),-Q10*FoodTipPercentage,OR(U10="Expo",U10="Food Runner"),HLOOKUP(T10,WedFoodTable,5)*O10,U10="Host",0),"")</f>
        <v/>
      </c>
      <c r="Z10" s="29" t="str" cm="1">
        <f t="array" ref="Z10">IFERROR(_xlfn.IFS(HLOOKUP(T10,WedHostTable,2)=0,0,OR(U10="Server",U10="Bartender"),-S10*HostTipPercentage,U10="Host",HLOOKUP(T10,WedHostTable,5)*O10,OR(U10="Expo",U10="Food Runner"),0),"")</f>
        <v/>
      </c>
      <c r="AA10" s="59"/>
      <c r="AB10" s="60"/>
      <c r="AC10" s="59"/>
      <c r="AD10" s="59"/>
      <c r="AE10" s="59"/>
      <c r="AF10" s="37">
        <f t="shared" si="20"/>
        <v>0</v>
      </c>
      <c r="AG10" s="59"/>
      <c r="AH10" s="59"/>
      <c r="AI10" s="37">
        <f t="shared" ref="AI10" si="94">IF(AH10="Bartender",(HLOOKUP(AG10,FriFoodTable,6)*AB10)+(HLOOKUP(AG10,FriHostTable,6)*AB10)+AK10,SUM(AK10,AL10,AM10))</f>
        <v>0</v>
      </c>
      <c r="AJ10" s="37">
        <f t="shared" ref="AJ10" si="95">IFERROR(IF(AH10="Bartender",(HLOOKUP(AG10,FriBarTable,6)*AB10)+AI10,AC10+AI10),"")</f>
        <v>0</v>
      </c>
      <c r="AK10" s="29">
        <f t="shared" ref="AK10" si="96">IF(AH10="Server",-AE10*AlcoholTipPercentage,0)+IF(AH10="Bartender",HLOOKUP(AG10,FriBarTable,5)*AB10)</f>
        <v>0</v>
      </c>
      <c r="AL10" s="29" t="str" cm="1">
        <f t="array" ref="AL10">IFERROR(_xlfn.IFS(HLOOKUP(AG10,FriFoodTable,2)=0,0,OR(AH10="Server",AH10="Bartender"),-AD10*FoodTipPercentage,OR(AH10="Expo",AH10="Food Runner"),HLOOKUP(AG10,FriFoodTable,5)*AB10,AH10="Host",0),"")</f>
        <v/>
      </c>
      <c r="AM10" s="29" t="str" cm="1">
        <f t="array" ref="AM10">IFERROR(_xlfn.IFS(HLOOKUP(AG10,FriHostTable,2)=0,0,OR(AH10="Server",AH10="Bartender"),-AF10*HostTipPercentage,AH10="Host",HLOOKUP(AG10,FriHostTable,5)*AB10,OR(AH10="Expo",AH10="Food Runner"),0),"")</f>
        <v/>
      </c>
      <c r="AN10" s="57"/>
      <c r="AO10" s="58"/>
      <c r="AP10" s="57"/>
      <c r="AQ10" s="57"/>
      <c r="AR10" s="57"/>
      <c r="AS10" s="36">
        <f t="shared" si="24"/>
        <v>0</v>
      </c>
      <c r="AT10" s="57"/>
      <c r="AU10" s="57"/>
      <c r="AV10" s="36">
        <f t="shared" ref="AV10" si="97">IF(AU10="Bartender",(HLOOKUP(AT10,SunFoodTable,6)*AO10)+(HLOOKUP(AT10,SunHostTable,6)*AO10)+AX10,SUM(AX10,AY10,AZ10))</f>
        <v>0</v>
      </c>
      <c r="AW10" s="36">
        <f t="shared" ref="AW10" si="98">IFERROR(IF(AU10="Bartender",(HLOOKUP(AT10,SunBarTable,6)*AO10)+AV10,AP10+AV10),"")</f>
        <v>0</v>
      </c>
      <c r="AX10" s="29">
        <f t="shared" ref="AX10" si="99">IF(AU10="Server",-AR10*AlcoholTipPercentage,0)+IF(AU10="Bartender",HLOOKUP(AT10,SunBarTable,5)*AO10)</f>
        <v>0</v>
      </c>
      <c r="AY10" s="29" t="str" cm="1">
        <f t="array" ref="AY10">IFERROR(_xlfn.IFS(HLOOKUP(AT10,SunFoodTable,2)=0,0,OR(AU10="Server",AU10="Bartender"),-AQ10*FoodTipPercentage,OR(AU10="Expo",AU10="Food Runner"),HLOOKUP(AT10,SunFoodTable,5)*AO10,AU10="Host",0),"")</f>
        <v/>
      </c>
      <c r="AZ10" s="29" t="str" cm="1">
        <f t="array" ref="AZ10">IFERROR(_xlfn.IFS(HLOOKUP(AT10,SunHostTable,2)=0,0,OR(AU10="Server",AU10="Bartender"),-AS10*HostTipPercentage,AU10="Host",HLOOKUP(AT10,SunHostTable,5)*AO10,OR(AU10="Expo",AU10="Food Runner"),0),"")</f>
        <v/>
      </c>
    </row>
    <row r="11" spans="1:60" x14ac:dyDescent="0.2">
      <c r="A11" s="55"/>
      <c r="B11" s="56"/>
      <c r="C11" s="55"/>
      <c r="D11" s="55"/>
      <c r="E11" s="55"/>
      <c r="F11" s="38">
        <f t="shared" si="12"/>
        <v>0</v>
      </c>
      <c r="G11" s="55"/>
      <c r="H11" s="55"/>
      <c r="I11" s="38">
        <f t="shared" ref="I11" si="100">IF(H11="Bartender",(HLOOKUP(G11,MonFoodTable,6)*B11)+(HLOOKUP(G11,MonHostTable,6)*B11)+K11,SUM(K11,L11,M11))</f>
        <v>0</v>
      </c>
      <c r="J11" s="38">
        <f t="shared" ref="J11" si="101">IFERROR(IF(H11="Bartender",(HLOOKUP(G11,MonBarTable,6)*B11)+I11,C11+I11),"")</f>
        <v>0</v>
      </c>
      <c r="K11" s="29">
        <f t="shared" ref="K11" si="102">IF(H11="Server",-E11*AlcoholTipPercentage,0)+IF(H11="Bartender",HLOOKUP(G11,MonBarTable,5)*B11)</f>
        <v>0</v>
      </c>
      <c r="L11" s="29" t="str" cm="1">
        <f t="array" ref="L11">IFERROR(_xlfn.IFS(HLOOKUP(G11,MonFoodTable,2)=0,0,OR(H11="Server",H11="Bartender"),-D11*FoodTipPercentage,OR(H11="Expo",H11="Food Runner"),HLOOKUP(G11,MonFoodTable,5)*B11,H11="Host",0),"")</f>
        <v/>
      </c>
      <c r="M11" s="29" t="str" cm="1">
        <f t="array" ref="M11">IFERROR(_xlfn.IFS(HLOOKUP(G11,MonHostTable,2)=0,0,OR(H11="Server",H11="Bartender"),-F11*HostTipPercentage,H11="Host",HLOOKUP(G11,MonHostTable,5)*B11,OR(H11="Expo",H11="Food Runner"),0),"")</f>
        <v/>
      </c>
      <c r="N11" s="57"/>
      <c r="O11" s="58"/>
      <c r="P11" s="57"/>
      <c r="Q11" s="57"/>
      <c r="R11" s="57"/>
      <c r="S11" s="36">
        <f t="shared" si="16"/>
        <v>0</v>
      </c>
      <c r="T11" s="57"/>
      <c r="U11" s="57"/>
      <c r="V11" s="36">
        <f t="shared" ref="V11" si="103">IF(U11="Bartender",(HLOOKUP(T11,WedFoodTable,6)*O11)+(HLOOKUP(T11,WedHostTable,6)*O11)+X11,SUM(X11,Y11,Z11))</f>
        <v>0</v>
      </c>
      <c r="W11" s="36">
        <f t="shared" ref="W11" si="104">IFERROR(IF(U11="Bartender",(HLOOKUP(T11,WedBarTable,6)*O11)+V11,P11+V11),"")</f>
        <v>0</v>
      </c>
      <c r="X11" s="29">
        <f t="shared" ref="X11" si="105">IF(U11="Server",-R11*AlcoholTipPercentage,0)+IF(U11="Bartender",HLOOKUP(T11,WedBarTable,5)*O11)</f>
        <v>0</v>
      </c>
      <c r="Y11" s="29" t="str" cm="1">
        <f t="array" ref="Y11">IFERROR(_xlfn.IFS(HLOOKUP(T11,WedFoodTable,2)=0,0,OR(U11="Server",U11="Bartender"),-Q11*FoodTipPercentage,OR(U11="Expo",U11="Food Runner"),HLOOKUP(T11,WedFoodTable,5)*O11,U11="Host",0),"")</f>
        <v/>
      </c>
      <c r="Z11" s="29" t="str" cm="1">
        <f t="array" ref="Z11">IFERROR(_xlfn.IFS(HLOOKUP(T11,WedHostTable,2)=0,0,OR(U11="Server",U11="Bartender"),-S11*HostTipPercentage,U11="Host",HLOOKUP(T11,WedHostTable,5)*O11,OR(U11="Expo",U11="Food Runner"),0),"")</f>
        <v/>
      </c>
      <c r="AA11" s="59"/>
      <c r="AB11" s="60"/>
      <c r="AC11" s="59"/>
      <c r="AD11" s="59"/>
      <c r="AE11" s="59"/>
      <c r="AF11" s="37">
        <f t="shared" si="20"/>
        <v>0</v>
      </c>
      <c r="AG11" s="59"/>
      <c r="AH11" s="59"/>
      <c r="AI11" s="37">
        <f t="shared" ref="AI11" si="106">IF(AH11="Bartender",(HLOOKUP(AG11,FriFoodTable,6)*AB11)+(HLOOKUP(AG11,FriHostTable,6)*AB11)+AK11,SUM(AK11,AL11,AM11))</f>
        <v>0</v>
      </c>
      <c r="AJ11" s="37">
        <f t="shared" ref="AJ11" si="107">IFERROR(IF(AH11="Bartender",(HLOOKUP(AG11,FriBarTable,6)*AB11)+AI11,AC11+AI11),"")</f>
        <v>0</v>
      </c>
      <c r="AK11" s="29">
        <f t="shared" ref="AK11" si="108">IF(AH11="Server",-AE11*AlcoholTipPercentage,0)+IF(AH11="Bartender",HLOOKUP(AG11,FriBarTable,5)*AB11)</f>
        <v>0</v>
      </c>
      <c r="AL11" s="29" t="str" cm="1">
        <f t="array" ref="AL11">IFERROR(_xlfn.IFS(HLOOKUP(AG11,FriFoodTable,2)=0,0,OR(AH11="Server",AH11="Bartender"),-AD11*FoodTipPercentage,OR(AH11="Expo",AH11="Food Runner"),HLOOKUP(AG11,FriFoodTable,5)*AB11,AH11="Host",0),"")</f>
        <v/>
      </c>
      <c r="AM11" s="29" t="str" cm="1">
        <f t="array" ref="AM11">IFERROR(_xlfn.IFS(HLOOKUP(AG11,FriHostTable,2)=0,0,OR(AH11="Server",AH11="Bartender"),-AF11*HostTipPercentage,AH11="Host",HLOOKUP(AG11,FriHostTable,5)*AB11,OR(AH11="Expo",AH11="Food Runner"),0),"")</f>
        <v/>
      </c>
      <c r="AN11" s="57"/>
      <c r="AO11" s="58"/>
      <c r="AP11" s="57"/>
      <c r="AQ11" s="57"/>
      <c r="AR11" s="57"/>
      <c r="AS11" s="36">
        <f t="shared" si="24"/>
        <v>0</v>
      </c>
      <c r="AT11" s="57"/>
      <c r="AU11" s="57"/>
      <c r="AV11" s="36">
        <f t="shared" ref="AV11" si="109">IF(AU11="Bartender",(HLOOKUP(AT11,SunFoodTable,6)*AO11)+(HLOOKUP(AT11,SunHostTable,6)*AO11)+AX11,SUM(AX11,AY11,AZ11))</f>
        <v>0</v>
      </c>
      <c r="AW11" s="36">
        <f t="shared" ref="AW11" si="110">IFERROR(IF(AU11="Bartender",(HLOOKUP(AT11,SunBarTable,6)*AO11)+AV11,AP11+AV11),"")</f>
        <v>0</v>
      </c>
      <c r="AX11" s="29">
        <f t="shared" ref="AX11" si="111">IF(AU11="Server",-AR11*AlcoholTipPercentage,0)+IF(AU11="Bartender",HLOOKUP(AT11,SunBarTable,5)*AO11)</f>
        <v>0</v>
      </c>
      <c r="AY11" s="29" t="str" cm="1">
        <f t="array" ref="AY11">IFERROR(_xlfn.IFS(HLOOKUP(AT11,SunFoodTable,2)=0,0,OR(AU11="Server",AU11="Bartender"),-AQ11*FoodTipPercentage,OR(AU11="Expo",AU11="Food Runner"),HLOOKUP(AT11,SunFoodTable,5)*AO11,AU11="Host",0),"")</f>
        <v/>
      </c>
      <c r="AZ11" s="29" t="str" cm="1">
        <f t="array" ref="AZ11">IFERROR(_xlfn.IFS(HLOOKUP(AT11,SunHostTable,2)=0,0,OR(AU11="Server",AU11="Bartender"),-AS11*HostTipPercentage,AU11="Host",HLOOKUP(AT11,SunHostTable,5)*AO11,OR(AU11="Expo",AU11="Food Runner"),0),"")</f>
        <v/>
      </c>
    </row>
    <row r="12" spans="1:60" x14ac:dyDescent="0.2">
      <c r="A12" s="55"/>
      <c r="B12" s="56"/>
      <c r="C12" s="55"/>
      <c r="D12" s="55"/>
      <c r="E12" s="55"/>
      <c r="F12" s="38">
        <f t="shared" si="12"/>
        <v>0</v>
      </c>
      <c r="G12" s="55"/>
      <c r="H12" s="55"/>
      <c r="I12" s="38">
        <f t="shared" ref="I12" si="112">IF(H12="Bartender",(HLOOKUP(G12,MonFoodTable,6)*B12)+(HLOOKUP(G12,MonHostTable,6)*B12)+K12,SUM(K12,L12,M12))</f>
        <v>0</v>
      </c>
      <c r="J12" s="38">
        <f t="shared" ref="J12" si="113">IFERROR(IF(H12="Bartender",(HLOOKUP(G12,MonBarTable,6)*B12)+I12,C12+I12),"")</f>
        <v>0</v>
      </c>
      <c r="K12" s="29">
        <f t="shared" ref="K12" si="114">IF(H12="Server",-E12*AlcoholTipPercentage,0)+IF(H12="Bartender",HLOOKUP(G12,MonBarTable,5)*B12)</f>
        <v>0</v>
      </c>
      <c r="L12" s="29" t="str" cm="1">
        <f t="array" ref="L12">IFERROR(_xlfn.IFS(HLOOKUP(G12,MonFoodTable,2)=0,0,OR(H12="Server",H12="Bartender"),-D12*FoodTipPercentage,OR(H12="Expo",H12="Food Runner"),HLOOKUP(G12,MonFoodTable,5)*B12,H12="Host",0),"")</f>
        <v/>
      </c>
      <c r="M12" s="29" t="str" cm="1">
        <f t="array" ref="M12">IFERROR(_xlfn.IFS(HLOOKUP(G12,MonHostTable,2)=0,0,OR(H12="Server",H12="Bartender"),-F12*HostTipPercentage,H12="Host",HLOOKUP(G12,MonHostTable,5)*B12,OR(H12="Expo",H12="Food Runner"),0),"")</f>
        <v/>
      </c>
      <c r="N12" s="57"/>
      <c r="O12" s="58"/>
      <c r="P12" s="57"/>
      <c r="Q12" s="57"/>
      <c r="R12" s="57"/>
      <c r="S12" s="36">
        <f t="shared" si="16"/>
        <v>0</v>
      </c>
      <c r="T12" s="57"/>
      <c r="U12" s="57"/>
      <c r="V12" s="36">
        <f t="shared" ref="V12" si="115">IF(U12="Bartender",(HLOOKUP(T12,WedFoodTable,6)*O12)+(HLOOKUP(T12,WedHostTable,6)*O12)+X12,SUM(X12,Y12,Z12))</f>
        <v>0</v>
      </c>
      <c r="W12" s="36">
        <f t="shared" ref="W12" si="116">IFERROR(IF(U12="Bartender",(HLOOKUP(T12,WedBarTable,6)*O12)+V12,P12+V12),"")</f>
        <v>0</v>
      </c>
      <c r="X12" s="29">
        <f t="shared" ref="X12" si="117">IF(U12="Server",-R12*AlcoholTipPercentage,0)+IF(U12="Bartender",HLOOKUP(T12,WedBarTable,5)*O12)</f>
        <v>0</v>
      </c>
      <c r="Y12" s="29" t="str" cm="1">
        <f t="array" ref="Y12">IFERROR(_xlfn.IFS(HLOOKUP(T12,WedFoodTable,2)=0,0,OR(U12="Server",U12="Bartender"),-Q12*FoodTipPercentage,OR(U12="Expo",U12="Food Runner"),HLOOKUP(T12,WedFoodTable,5)*O12,U12="Host",0),"")</f>
        <v/>
      </c>
      <c r="Z12" s="29" t="str" cm="1">
        <f t="array" ref="Z12">IFERROR(_xlfn.IFS(HLOOKUP(T12,WedHostTable,2)=0,0,OR(U12="Server",U12="Bartender"),-S12*HostTipPercentage,U12="Host",HLOOKUP(T12,WedHostTable,5)*O12,OR(U12="Expo",U12="Food Runner"),0),"")</f>
        <v/>
      </c>
      <c r="AA12" s="59"/>
      <c r="AB12" s="60"/>
      <c r="AC12" s="59"/>
      <c r="AD12" s="59"/>
      <c r="AE12" s="59"/>
      <c r="AF12" s="37">
        <f t="shared" si="20"/>
        <v>0</v>
      </c>
      <c r="AG12" s="59"/>
      <c r="AH12" s="59"/>
      <c r="AI12" s="37">
        <f t="shared" ref="AI12" si="118">IF(AH12="Bartender",(HLOOKUP(AG12,FriFoodTable,6)*AB12)+(HLOOKUP(AG12,FriHostTable,6)*AB12)+AK12,SUM(AK12,AL12,AM12))</f>
        <v>0</v>
      </c>
      <c r="AJ12" s="37">
        <f t="shared" ref="AJ12" si="119">IFERROR(IF(AH12="Bartender",(HLOOKUP(AG12,FriBarTable,6)*AB12)+AI12,AC12+AI12),"")</f>
        <v>0</v>
      </c>
      <c r="AK12" s="29">
        <f t="shared" ref="AK12" si="120">IF(AH12="Server",-AE12*AlcoholTipPercentage,0)+IF(AH12="Bartender",HLOOKUP(AG12,FriBarTable,5)*AB12)</f>
        <v>0</v>
      </c>
      <c r="AL12" s="29" t="str" cm="1">
        <f t="array" ref="AL12">IFERROR(_xlfn.IFS(HLOOKUP(AG12,FriFoodTable,2)=0,0,OR(AH12="Server",AH12="Bartender"),-AD12*FoodTipPercentage,OR(AH12="Expo",AH12="Food Runner"),HLOOKUP(AG12,FriFoodTable,5)*AB12,AH12="Host",0),"")</f>
        <v/>
      </c>
      <c r="AM12" s="29" t="str" cm="1">
        <f t="array" ref="AM12">IFERROR(_xlfn.IFS(HLOOKUP(AG12,FriHostTable,2)=0,0,OR(AH12="Server",AH12="Bartender"),-AF12*HostTipPercentage,AH12="Host",HLOOKUP(AG12,FriHostTable,5)*AB12,OR(AH12="Expo",AH12="Food Runner"),0),"")</f>
        <v/>
      </c>
      <c r="AN12" s="57"/>
      <c r="AO12" s="58"/>
      <c r="AP12" s="57"/>
      <c r="AQ12" s="57"/>
      <c r="AR12" s="57"/>
      <c r="AS12" s="36">
        <f t="shared" si="24"/>
        <v>0</v>
      </c>
      <c r="AT12" s="57"/>
      <c r="AU12" s="57"/>
      <c r="AV12" s="36">
        <f t="shared" ref="AV12" si="121">IF(AU12="Bartender",(HLOOKUP(AT12,SunFoodTable,6)*AO12)+(HLOOKUP(AT12,SunHostTable,6)*AO12)+AX12,SUM(AX12,AY12,AZ12))</f>
        <v>0</v>
      </c>
      <c r="AW12" s="36">
        <f t="shared" ref="AW12" si="122">IFERROR(IF(AU12="Bartender",(HLOOKUP(AT12,SunBarTable,6)*AO12)+AV12,AP12+AV12),"")</f>
        <v>0</v>
      </c>
      <c r="AX12" s="29">
        <f t="shared" ref="AX12" si="123">IF(AU12="Server",-AR12*AlcoholTipPercentage,0)+IF(AU12="Bartender",HLOOKUP(AT12,SunBarTable,5)*AO12)</f>
        <v>0</v>
      </c>
      <c r="AY12" s="29" t="str" cm="1">
        <f t="array" ref="AY12">IFERROR(_xlfn.IFS(HLOOKUP(AT12,SunFoodTable,2)=0,0,OR(AU12="Server",AU12="Bartender"),-AQ12*FoodTipPercentage,OR(AU12="Expo",AU12="Food Runner"),HLOOKUP(AT12,SunFoodTable,5)*AO12,AU12="Host",0),"")</f>
        <v/>
      </c>
      <c r="AZ12" s="29" t="str" cm="1">
        <f t="array" ref="AZ12">IFERROR(_xlfn.IFS(HLOOKUP(AT12,SunHostTable,2)=0,0,OR(AU12="Server",AU12="Bartender"),-AS12*HostTipPercentage,AU12="Host",HLOOKUP(AT12,SunHostTable,5)*AO12,OR(AU12="Expo",AU12="Food Runner"),0),"")</f>
        <v/>
      </c>
    </row>
    <row r="13" spans="1:60" x14ac:dyDescent="0.2">
      <c r="A13" s="55"/>
      <c r="B13" s="56"/>
      <c r="C13" s="55"/>
      <c r="D13" s="55"/>
      <c r="E13" s="55"/>
      <c r="F13" s="38">
        <f t="shared" si="12"/>
        <v>0</v>
      </c>
      <c r="G13" s="55"/>
      <c r="H13" s="55"/>
      <c r="I13" s="38">
        <f t="shared" ref="I13" si="124">IF(H13="Bartender",(HLOOKUP(G13,MonFoodTable,6)*B13)+(HLOOKUP(G13,MonHostTable,6)*B13)+K13,SUM(K13,L13,M13))</f>
        <v>0</v>
      </c>
      <c r="J13" s="38">
        <f t="shared" ref="J13" si="125">IFERROR(IF(H13="Bartender",(HLOOKUP(G13,MonBarTable,6)*B13)+I13,C13+I13),"")</f>
        <v>0</v>
      </c>
      <c r="K13" s="29">
        <f t="shared" ref="K13" si="126">IF(H13="Server",-E13*AlcoholTipPercentage,0)+IF(H13="Bartender",HLOOKUP(G13,MonBarTable,5)*B13)</f>
        <v>0</v>
      </c>
      <c r="L13" s="29" t="str" cm="1">
        <f t="array" ref="L13">IFERROR(_xlfn.IFS(HLOOKUP(G13,MonFoodTable,2)=0,0,OR(H13="Server",H13="Bartender"),-D13*FoodTipPercentage,OR(H13="Expo",H13="Food Runner"),HLOOKUP(G13,MonFoodTable,5)*B13,H13="Host",0),"")</f>
        <v/>
      </c>
      <c r="M13" s="29" t="str" cm="1">
        <f t="array" ref="M13">IFERROR(_xlfn.IFS(HLOOKUP(G13,MonHostTable,2)=0,0,OR(H13="Server",H13="Bartender"),-F13*HostTipPercentage,H13="Host",HLOOKUP(G13,MonHostTable,5)*B13,OR(H13="Expo",H13="Food Runner"),0),"")</f>
        <v/>
      </c>
      <c r="N13" s="57"/>
      <c r="O13" s="58"/>
      <c r="P13" s="57"/>
      <c r="Q13" s="57"/>
      <c r="R13" s="57"/>
      <c r="S13" s="36">
        <f t="shared" si="16"/>
        <v>0</v>
      </c>
      <c r="T13" s="57"/>
      <c r="U13" s="57"/>
      <c r="V13" s="36">
        <f t="shared" ref="V13" si="127">IF(U13="Bartender",(HLOOKUP(T13,WedFoodTable,6)*O13)+(HLOOKUP(T13,WedHostTable,6)*O13)+X13,SUM(X13,Y13,Z13))</f>
        <v>0</v>
      </c>
      <c r="W13" s="36">
        <f t="shared" ref="W13" si="128">IFERROR(IF(U13="Bartender",(HLOOKUP(T13,WedBarTable,6)*O13)+V13,P13+V13),"")</f>
        <v>0</v>
      </c>
      <c r="X13" s="29">
        <f t="shared" ref="X13" si="129">IF(U13="Server",-R13*AlcoholTipPercentage,0)+IF(U13="Bartender",HLOOKUP(T13,WedBarTable,5)*O13)</f>
        <v>0</v>
      </c>
      <c r="Y13" s="29" t="str" cm="1">
        <f t="array" ref="Y13">IFERROR(_xlfn.IFS(HLOOKUP(T13,WedFoodTable,2)=0,0,OR(U13="Server",U13="Bartender"),-Q13*FoodTipPercentage,OR(U13="Expo",U13="Food Runner"),HLOOKUP(T13,WedFoodTable,5)*O13,U13="Host",0),"")</f>
        <v/>
      </c>
      <c r="Z13" s="29" t="str" cm="1">
        <f t="array" ref="Z13">IFERROR(_xlfn.IFS(HLOOKUP(T13,WedHostTable,2)=0,0,OR(U13="Server",U13="Bartender"),-S13*HostTipPercentage,U13="Host",HLOOKUP(T13,WedHostTable,5)*O13,OR(U13="Expo",U13="Food Runner"),0),"")</f>
        <v/>
      </c>
      <c r="AA13" s="59"/>
      <c r="AB13" s="60"/>
      <c r="AC13" s="59"/>
      <c r="AD13" s="59"/>
      <c r="AE13" s="59"/>
      <c r="AF13" s="37">
        <f t="shared" si="20"/>
        <v>0</v>
      </c>
      <c r="AG13" s="59"/>
      <c r="AH13" s="59"/>
      <c r="AI13" s="37">
        <f t="shared" ref="AI13" si="130">IF(AH13="Bartender",(HLOOKUP(AG13,FriFoodTable,6)*AB13)+(HLOOKUP(AG13,FriHostTable,6)*AB13)+AK13,SUM(AK13,AL13,AM13))</f>
        <v>0</v>
      </c>
      <c r="AJ13" s="37">
        <f t="shared" ref="AJ13" si="131">IFERROR(IF(AH13="Bartender",(HLOOKUP(AG13,FriBarTable,6)*AB13)+AI13,AC13+AI13),"")</f>
        <v>0</v>
      </c>
      <c r="AK13" s="29">
        <f t="shared" ref="AK13" si="132">IF(AH13="Server",-AE13*AlcoholTipPercentage,0)+IF(AH13="Bartender",HLOOKUP(AG13,FriBarTable,5)*AB13)</f>
        <v>0</v>
      </c>
      <c r="AL13" s="29" t="str" cm="1">
        <f t="array" ref="AL13">IFERROR(_xlfn.IFS(HLOOKUP(AG13,FriFoodTable,2)=0,0,OR(AH13="Server",AH13="Bartender"),-AD13*FoodTipPercentage,OR(AH13="Expo",AH13="Food Runner"),HLOOKUP(AG13,FriFoodTable,5)*AB13,AH13="Host",0),"")</f>
        <v/>
      </c>
      <c r="AM13" s="29" t="str" cm="1">
        <f t="array" ref="AM13">IFERROR(_xlfn.IFS(HLOOKUP(AG13,FriHostTable,2)=0,0,OR(AH13="Server",AH13="Bartender"),-AF13*HostTipPercentage,AH13="Host",HLOOKUP(AG13,FriHostTable,5)*AB13,OR(AH13="Expo",AH13="Food Runner"),0),"")</f>
        <v/>
      </c>
      <c r="AN13" s="57"/>
      <c r="AO13" s="58"/>
      <c r="AP13" s="57"/>
      <c r="AQ13" s="57"/>
      <c r="AR13" s="57"/>
      <c r="AS13" s="36">
        <f t="shared" si="24"/>
        <v>0</v>
      </c>
      <c r="AT13" s="57"/>
      <c r="AU13" s="57"/>
      <c r="AV13" s="36">
        <f t="shared" ref="AV13" si="133">IF(AU13="Bartender",(HLOOKUP(AT13,SunFoodTable,6)*AO13)+(HLOOKUP(AT13,SunHostTable,6)*AO13)+AX13,SUM(AX13,AY13,AZ13))</f>
        <v>0</v>
      </c>
      <c r="AW13" s="36">
        <f t="shared" ref="AW13" si="134">IFERROR(IF(AU13="Bartender",(HLOOKUP(AT13,SunBarTable,6)*AO13)+AV13,AP13+AV13),"")</f>
        <v>0</v>
      </c>
      <c r="AX13" s="29">
        <f t="shared" ref="AX13" si="135">IF(AU13="Server",-AR13*AlcoholTipPercentage,0)+IF(AU13="Bartender",HLOOKUP(AT13,SunBarTable,5)*AO13)</f>
        <v>0</v>
      </c>
      <c r="AY13" s="29" t="str" cm="1">
        <f t="array" ref="AY13">IFERROR(_xlfn.IFS(HLOOKUP(AT13,SunFoodTable,2)=0,0,OR(AU13="Server",AU13="Bartender"),-AQ13*FoodTipPercentage,OR(AU13="Expo",AU13="Food Runner"),HLOOKUP(AT13,SunFoodTable,5)*AO13,AU13="Host",0),"")</f>
        <v/>
      </c>
      <c r="AZ13" s="29" t="str" cm="1">
        <f t="array" ref="AZ13">IFERROR(_xlfn.IFS(HLOOKUP(AT13,SunHostTable,2)=0,0,OR(AU13="Server",AU13="Bartender"),-AS13*HostTipPercentage,AU13="Host",HLOOKUP(AT13,SunHostTable,5)*AO13,OR(AU13="Expo",AU13="Food Runner"),0),"")</f>
        <v/>
      </c>
    </row>
    <row r="14" spans="1:60" x14ac:dyDescent="0.2">
      <c r="A14" s="55"/>
      <c r="B14" s="56"/>
      <c r="C14" s="55"/>
      <c r="D14" s="55"/>
      <c r="E14" s="55"/>
      <c r="F14" s="38">
        <f t="shared" si="12"/>
        <v>0</v>
      </c>
      <c r="G14" s="55"/>
      <c r="H14" s="55"/>
      <c r="I14" s="38">
        <f t="shared" ref="I14" si="136">IF(H14="Bartender",(HLOOKUP(G14,MonFoodTable,6)*B14)+(HLOOKUP(G14,MonHostTable,6)*B14)+K14,SUM(K14,L14,M14))</f>
        <v>0</v>
      </c>
      <c r="J14" s="38">
        <f t="shared" ref="J14" si="137">IFERROR(IF(H14="Bartender",(HLOOKUP(G14,MonBarTable,6)*B14)+I14,C14+I14),"")</f>
        <v>0</v>
      </c>
      <c r="K14" s="29">
        <f t="shared" ref="K14" si="138">IF(H14="Server",-E14*AlcoholTipPercentage,0)+IF(H14="Bartender",HLOOKUP(G14,MonBarTable,5)*B14)</f>
        <v>0</v>
      </c>
      <c r="L14" s="29" t="str" cm="1">
        <f t="array" ref="L14">IFERROR(_xlfn.IFS(HLOOKUP(G14,MonFoodTable,2)=0,0,OR(H14="Server",H14="Bartender"),-D14*FoodTipPercentage,OR(H14="Expo",H14="Food Runner"),HLOOKUP(G14,MonFoodTable,5)*B14,H14="Host",0),"")</f>
        <v/>
      </c>
      <c r="M14" s="29" t="str" cm="1">
        <f t="array" ref="M14">IFERROR(_xlfn.IFS(HLOOKUP(G14,MonHostTable,2)=0,0,OR(H14="Server",H14="Bartender"),-F14*HostTipPercentage,H14="Host",HLOOKUP(G14,MonHostTable,5)*B14,OR(H14="Expo",H14="Food Runner"),0),"")</f>
        <v/>
      </c>
      <c r="N14" s="57"/>
      <c r="O14" s="58"/>
      <c r="P14" s="57"/>
      <c r="Q14" s="57"/>
      <c r="R14" s="57"/>
      <c r="S14" s="36">
        <f t="shared" si="16"/>
        <v>0</v>
      </c>
      <c r="T14" s="57"/>
      <c r="U14" s="57"/>
      <c r="V14" s="36">
        <f t="shared" ref="V14" si="139">IF(U14="Bartender",(HLOOKUP(T14,WedFoodTable,6)*O14)+(HLOOKUP(T14,WedHostTable,6)*O14)+X14,SUM(X14,Y14,Z14))</f>
        <v>0</v>
      </c>
      <c r="W14" s="36">
        <f t="shared" ref="W14" si="140">IFERROR(IF(U14="Bartender",(HLOOKUP(T14,WedBarTable,6)*O14)+V14,P14+V14),"")</f>
        <v>0</v>
      </c>
      <c r="X14" s="29">
        <f t="shared" ref="X14" si="141">IF(U14="Server",-R14*AlcoholTipPercentage,0)+IF(U14="Bartender",HLOOKUP(T14,WedBarTable,5)*O14)</f>
        <v>0</v>
      </c>
      <c r="Y14" s="29" t="str" cm="1">
        <f t="array" ref="Y14">IFERROR(_xlfn.IFS(HLOOKUP(T14,WedFoodTable,2)=0,0,OR(U14="Server",U14="Bartender"),-Q14*FoodTipPercentage,OR(U14="Expo",U14="Food Runner"),HLOOKUP(T14,WedFoodTable,5)*O14,U14="Host",0),"")</f>
        <v/>
      </c>
      <c r="Z14" s="29" t="str" cm="1">
        <f t="array" ref="Z14">IFERROR(_xlfn.IFS(HLOOKUP(T14,WedHostTable,2)=0,0,OR(U14="Server",U14="Bartender"),-S14*HostTipPercentage,U14="Host",HLOOKUP(T14,WedHostTable,5)*O14,OR(U14="Expo",U14="Food Runner"),0),"")</f>
        <v/>
      </c>
      <c r="AA14" s="59"/>
      <c r="AB14" s="60"/>
      <c r="AC14" s="59"/>
      <c r="AD14" s="59"/>
      <c r="AE14" s="59"/>
      <c r="AF14" s="37">
        <f t="shared" si="20"/>
        <v>0</v>
      </c>
      <c r="AG14" s="59"/>
      <c r="AH14" s="59"/>
      <c r="AI14" s="37">
        <f t="shared" ref="AI14" si="142">IF(AH14="Bartender",(HLOOKUP(AG14,FriFoodTable,6)*AB14)+(HLOOKUP(AG14,FriHostTable,6)*AB14)+AK14,SUM(AK14,AL14,AM14))</f>
        <v>0</v>
      </c>
      <c r="AJ14" s="37">
        <f t="shared" ref="AJ14" si="143">IFERROR(IF(AH14="Bartender",(HLOOKUP(AG14,FriBarTable,6)*AB14)+AI14,AC14+AI14),"")</f>
        <v>0</v>
      </c>
      <c r="AK14" s="29">
        <f t="shared" ref="AK14" si="144">IF(AH14="Server",-AE14*AlcoholTipPercentage,0)+IF(AH14="Bartender",HLOOKUP(AG14,FriBarTable,5)*AB14)</f>
        <v>0</v>
      </c>
      <c r="AL14" s="29" t="str" cm="1">
        <f t="array" ref="AL14">IFERROR(_xlfn.IFS(HLOOKUP(AG14,FriFoodTable,2)=0,0,OR(AH14="Server",AH14="Bartender"),-AD14*FoodTipPercentage,OR(AH14="Expo",AH14="Food Runner"),HLOOKUP(AG14,FriFoodTable,5)*AB14,AH14="Host",0),"")</f>
        <v/>
      </c>
      <c r="AM14" s="29" t="str" cm="1">
        <f t="array" ref="AM14">IFERROR(_xlfn.IFS(HLOOKUP(AG14,FriHostTable,2)=0,0,OR(AH14="Server",AH14="Bartender"),-AF14*HostTipPercentage,AH14="Host",HLOOKUP(AG14,FriHostTable,5)*AB14,OR(AH14="Expo",AH14="Food Runner"),0),"")</f>
        <v/>
      </c>
      <c r="AN14" s="57"/>
      <c r="AO14" s="58"/>
      <c r="AP14" s="57"/>
      <c r="AQ14" s="57"/>
      <c r="AR14" s="57"/>
      <c r="AS14" s="36">
        <f t="shared" si="24"/>
        <v>0</v>
      </c>
      <c r="AT14" s="57"/>
      <c r="AU14" s="57"/>
      <c r="AV14" s="36">
        <f t="shared" ref="AV14" si="145">IF(AU14="Bartender",(HLOOKUP(AT14,SunFoodTable,6)*AO14)+(HLOOKUP(AT14,SunHostTable,6)*AO14)+AX14,SUM(AX14,AY14,AZ14))</f>
        <v>0</v>
      </c>
      <c r="AW14" s="36">
        <f t="shared" ref="AW14" si="146">IFERROR(IF(AU14="Bartender",(HLOOKUP(AT14,SunBarTable,6)*AO14)+AV14,AP14+AV14),"")</f>
        <v>0</v>
      </c>
      <c r="AX14" s="29">
        <f t="shared" ref="AX14" si="147">IF(AU14="Server",-AR14*AlcoholTipPercentage,0)+IF(AU14="Bartender",HLOOKUP(AT14,SunBarTable,5)*AO14)</f>
        <v>0</v>
      </c>
      <c r="AY14" s="29" t="str" cm="1">
        <f t="array" ref="AY14">IFERROR(_xlfn.IFS(HLOOKUP(AT14,SunFoodTable,2)=0,0,OR(AU14="Server",AU14="Bartender"),-AQ14*FoodTipPercentage,OR(AU14="Expo",AU14="Food Runner"),HLOOKUP(AT14,SunFoodTable,5)*AO14,AU14="Host",0),"")</f>
        <v/>
      </c>
      <c r="AZ14" s="29" t="str" cm="1">
        <f t="array" ref="AZ14">IFERROR(_xlfn.IFS(HLOOKUP(AT14,SunHostTable,2)=0,0,OR(AU14="Server",AU14="Bartender"),-AS14*HostTipPercentage,AU14="Host",HLOOKUP(AT14,SunHostTable,5)*AO14,OR(AU14="Expo",AU14="Food Runner"),0),"")</f>
        <v/>
      </c>
    </row>
    <row r="15" spans="1:60" x14ac:dyDescent="0.2">
      <c r="A15" s="55"/>
      <c r="B15" s="56"/>
      <c r="C15" s="55"/>
      <c r="D15" s="55"/>
      <c r="E15" s="55"/>
      <c r="F15" s="38">
        <f t="shared" si="12"/>
        <v>0</v>
      </c>
      <c r="G15" s="55"/>
      <c r="H15" s="55"/>
      <c r="I15" s="38">
        <f t="shared" ref="I15" si="148">IF(H15="Bartender",(HLOOKUP(G15,MonFoodTable,6)*B15)+(HLOOKUP(G15,MonHostTable,6)*B15)+K15,SUM(K15,L15,M15))</f>
        <v>0</v>
      </c>
      <c r="J15" s="38">
        <f t="shared" ref="J15" si="149">IFERROR(IF(H15="Bartender",(HLOOKUP(G15,MonBarTable,6)*B15)+I15,C15+I15),"")</f>
        <v>0</v>
      </c>
      <c r="K15" s="29">
        <f t="shared" ref="K15" si="150">IF(H15="Server",-E15*AlcoholTipPercentage,0)+IF(H15="Bartender",HLOOKUP(G15,MonBarTable,5)*B15)</f>
        <v>0</v>
      </c>
      <c r="L15" s="29" t="str" cm="1">
        <f t="array" ref="L15">IFERROR(_xlfn.IFS(HLOOKUP(G15,MonFoodTable,2)=0,0,OR(H15="Server",H15="Bartender"),-D15*FoodTipPercentage,OR(H15="Expo",H15="Food Runner"),HLOOKUP(G15,MonFoodTable,5)*B15,H15="Host",0),"")</f>
        <v/>
      </c>
      <c r="M15" s="29" t="str" cm="1">
        <f t="array" ref="M15">IFERROR(_xlfn.IFS(HLOOKUP(G15,MonHostTable,2)=0,0,OR(H15="Server",H15="Bartender"),-F15*HostTipPercentage,H15="Host",HLOOKUP(G15,MonHostTable,5)*B15,OR(H15="Expo",H15="Food Runner"),0),"")</f>
        <v/>
      </c>
      <c r="N15" s="57"/>
      <c r="O15" s="58"/>
      <c r="P15" s="57"/>
      <c r="Q15" s="57"/>
      <c r="R15" s="57"/>
      <c r="S15" s="36">
        <f t="shared" si="16"/>
        <v>0</v>
      </c>
      <c r="T15" s="57"/>
      <c r="U15" s="57"/>
      <c r="V15" s="36">
        <f t="shared" ref="V15" si="151">IF(U15="Bartender",(HLOOKUP(T15,WedFoodTable,6)*O15)+(HLOOKUP(T15,WedHostTable,6)*O15)+X15,SUM(X15,Y15,Z15))</f>
        <v>0</v>
      </c>
      <c r="W15" s="36">
        <f t="shared" ref="W15" si="152">IFERROR(IF(U15="Bartender",(HLOOKUP(T15,WedBarTable,6)*O15)+V15,P15+V15),"")</f>
        <v>0</v>
      </c>
      <c r="X15" s="29">
        <f t="shared" ref="X15" si="153">IF(U15="Server",-R15*AlcoholTipPercentage,0)+IF(U15="Bartender",HLOOKUP(T15,WedBarTable,5)*O15)</f>
        <v>0</v>
      </c>
      <c r="Y15" s="29" t="str" cm="1">
        <f t="array" ref="Y15">IFERROR(_xlfn.IFS(HLOOKUP(T15,WedFoodTable,2)=0,0,OR(U15="Server",U15="Bartender"),-Q15*FoodTipPercentage,OR(U15="Expo",U15="Food Runner"),HLOOKUP(T15,WedFoodTable,5)*O15,U15="Host",0),"")</f>
        <v/>
      </c>
      <c r="Z15" s="29" t="str" cm="1">
        <f t="array" ref="Z15">IFERROR(_xlfn.IFS(HLOOKUP(T15,WedHostTable,2)=0,0,OR(U15="Server",U15="Bartender"),-S15*HostTipPercentage,U15="Host",HLOOKUP(T15,WedHostTable,5)*O15,OR(U15="Expo",U15="Food Runner"),0),"")</f>
        <v/>
      </c>
      <c r="AA15" s="59"/>
      <c r="AB15" s="60"/>
      <c r="AC15" s="59"/>
      <c r="AD15" s="59"/>
      <c r="AE15" s="59"/>
      <c r="AF15" s="37">
        <f t="shared" si="20"/>
        <v>0</v>
      </c>
      <c r="AG15" s="59"/>
      <c r="AH15" s="59"/>
      <c r="AI15" s="37">
        <f t="shared" ref="AI15" si="154">IF(AH15="Bartender",(HLOOKUP(AG15,FriFoodTable,6)*AB15)+(HLOOKUP(AG15,FriHostTable,6)*AB15)+AK15,SUM(AK15,AL15,AM15))</f>
        <v>0</v>
      </c>
      <c r="AJ15" s="37">
        <f t="shared" ref="AJ15" si="155">IFERROR(IF(AH15="Bartender",(HLOOKUP(AG15,FriBarTable,6)*AB15)+AI15,AC15+AI15),"")</f>
        <v>0</v>
      </c>
      <c r="AK15" s="29">
        <f t="shared" ref="AK15" si="156">IF(AH15="Server",-AE15*AlcoholTipPercentage,0)+IF(AH15="Bartender",HLOOKUP(AG15,FriBarTable,5)*AB15)</f>
        <v>0</v>
      </c>
      <c r="AL15" s="29" t="str" cm="1">
        <f t="array" ref="AL15">IFERROR(_xlfn.IFS(HLOOKUP(AG15,FriFoodTable,2)=0,0,OR(AH15="Server",AH15="Bartender"),-AD15*FoodTipPercentage,OR(AH15="Expo",AH15="Food Runner"),HLOOKUP(AG15,FriFoodTable,5)*AB15,AH15="Host",0),"")</f>
        <v/>
      </c>
      <c r="AM15" s="29" t="str" cm="1">
        <f t="array" ref="AM15">IFERROR(_xlfn.IFS(HLOOKUP(AG15,FriHostTable,2)=0,0,OR(AH15="Server",AH15="Bartender"),-AF15*HostTipPercentage,AH15="Host",HLOOKUP(AG15,FriHostTable,5)*AB15,OR(AH15="Expo",AH15="Food Runner"),0),"")</f>
        <v/>
      </c>
      <c r="AN15" s="57"/>
      <c r="AO15" s="58"/>
      <c r="AP15" s="57"/>
      <c r="AQ15" s="57"/>
      <c r="AR15" s="57"/>
      <c r="AS15" s="36">
        <f t="shared" si="24"/>
        <v>0</v>
      </c>
      <c r="AT15" s="57"/>
      <c r="AU15" s="57"/>
      <c r="AV15" s="36">
        <f t="shared" ref="AV15" si="157">IF(AU15="Bartender",(HLOOKUP(AT15,SunFoodTable,6)*AO15)+(HLOOKUP(AT15,SunHostTable,6)*AO15)+AX15,SUM(AX15,AY15,AZ15))</f>
        <v>0</v>
      </c>
      <c r="AW15" s="36">
        <f t="shared" ref="AW15" si="158">IFERROR(IF(AU15="Bartender",(HLOOKUP(AT15,SunBarTable,6)*AO15)+AV15,AP15+AV15),"")</f>
        <v>0</v>
      </c>
      <c r="AX15" s="29">
        <f t="shared" ref="AX15" si="159">IF(AU15="Server",-AR15*AlcoholTipPercentage,0)+IF(AU15="Bartender",HLOOKUP(AT15,SunBarTable,5)*AO15)</f>
        <v>0</v>
      </c>
      <c r="AY15" s="29" t="str" cm="1">
        <f t="array" ref="AY15">IFERROR(_xlfn.IFS(HLOOKUP(AT15,SunFoodTable,2)=0,0,OR(AU15="Server",AU15="Bartender"),-AQ15*FoodTipPercentage,OR(AU15="Expo",AU15="Food Runner"),HLOOKUP(AT15,SunFoodTable,5)*AO15,AU15="Host",0),"")</f>
        <v/>
      </c>
      <c r="AZ15" s="29" t="str" cm="1">
        <f t="array" ref="AZ15">IFERROR(_xlfn.IFS(HLOOKUP(AT15,SunHostTable,2)=0,0,OR(AU15="Server",AU15="Bartender"),-AS15*HostTipPercentage,AU15="Host",HLOOKUP(AT15,SunHostTable,5)*AO15,OR(AU15="Expo",AU15="Food Runner"),0),"")</f>
        <v/>
      </c>
    </row>
    <row r="16" spans="1:60" x14ac:dyDescent="0.2">
      <c r="A16" s="55"/>
      <c r="B16" s="56"/>
      <c r="C16" s="55"/>
      <c r="D16" s="55"/>
      <c r="E16" s="55"/>
      <c r="F16" s="38">
        <f t="shared" si="12"/>
        <v>0</v>
      </c>
      <c r="G16" s="55"/>
      <c r="H16" s="55"/>
      <c r="I16" s="38">
        <f t="shared" ref="I16" si="160">IF(H16="Bartender",(HLOOKUP(G16,MonFoodTable,6)*B16)+(HLOOKUP(G16,MonHostTable,6)*B16)+K16,SUM(K16,L16,M16))</f>
        <v>0</v>
      </c>
      <c r="J16" s="38">
        <f t="shared" ref="J16" si="161">IFERROR(IF(H16="Bartender",(HLOOKUP(G16,MonBarTable,6)*B16)+I16,C16+I16),"")</f>
        <v>0</v>
      </c>
      <c r="K16" s="29">
        <f t="shared" ref="K16" si="162">IF(H16="Server",-E16*AlcoholTipPercentage,0)+IF(H16="Bartender",HLOOKUP(G16,MonBarTable,5)*B16)</f>
        <v>0</v>
      </c>
      <c r="L16" s="29" t="str" cm="1">
        <f t="array" ref="L16">IFERROR(_xlfn.IFS(HLOOKUP(G16,MonFoodTable,2)=0,0,OR(H16="Server",H16="Bartender"),-D16*FoodTipPercentage,OR(H16="Expo",H16="Food Runner"),HLOOKUP(G16,MonFoodTable,5)*B16,H16="Host",0),"")</f>
        <v/>
      </c>
      <c r="M16" s="29" t="str" cm="1">
        <f t="array" ref="M16">IFERROR(_xlfn.IFS(HLOOKUP(G16,MonHostTable,2)=0,0,OR(H16="Server",H16="Bartender"),-F16*HostTipPercentage,H16="Host",HLOOKUP(G16,MonHostTable,5)*B16,OR(H16="Expo",H16="Food Runner"),0),"")</f>
        <v/>
      </c>
      <c r="N16" s="57"/>
      <c r="O16" s="58"/>
      <c r="P16" s="57"/>
      <c r="Q16" s="57"/>
      <c r="R16" s="57"/>
      <c r="S16" s="36">
        <f t="shared" si="16"/>
        <v>0</v>
      </c>
      <c r="T16" s="57"/>
      <c r="U16" s="57"/>
      <c r="V16" s="36">
        <f t="shared" ref="V16" si="163">IF(U16="Bartender",(HLOOKUP(T16,WedFoodTable,6)*O16)+(HLOOKUP(T16,WedHostTable,6)*O16)+X16,SUM(X16,Y16,Z16))</f>
        <v>0</v>
      </c>
      <c r="W16" s="36">
        <f t="shared" ref="W16" si="164">IFERROR(IF(U16="Bartender",(HLOOKUP(T16,WedBarTable,6)*O16)+V16,P16+V16),"")</f>
        <v>0</v>
      </c>
      <c r="X16" s="29">
        <f t="shared" ref="X16" si="165">IF(U16="Server",-R16*AlcoholTipPercentage,0)+IF(U16="Bartender",HLOOKUP(T16,WedBarTable,5)*O16)</f>
        <v>0</v>
      </c>
      <c r="Y16" s="29" t="str" cm="1">
        <f t="array" ref="Y16">IFERROR(_xlfn.IFS(HLOOKUP(T16,WedFoodTable,2)=0,0,OR(U16="Server",U16="Bartender"),-Q16*FoodTipPercentage,OR(U16="Expo",U16="Food Runner"),HLOOKUP(T16,WedFoodTable,5)*O16,U16="Host",0),"")</f>
        <v/>
      </c>
      <c r="Z16" s="29" t="str" cm="1">
        <f t="array" ref="Z16">IFERROR(_xlfn.IFS(HLOOKUP(T16,WedHostTable,2)=0,0,OR(U16="Server",U16="Bartender"),-S16*HostTipPercentage,U16="Host",HLOOKUP(T16,WedHostTable,5)*O16,OR(U16="Expo",U16="Food Runner"),0),"")</f>
        <v/>
      </c>
      <c r="AA16" s="59"/>
      <c r="AB16" s="60"/>
      <c r="AC16" s="59"/>
      <c r="AD16" s="59"/>
      <c r="AE16" s="59"/>
      <c r="AF16" s="37">
        <f t="shared" si="20"/>
        <v>0</v>
      </c>
      <c r="AG16" s="59"/>
      <c r="AH16" s="59"/>
      <c r="AI16" s="37">
        <f t="shared" ref="AI16" si="166">IF(AH16="Bartender",(HLOOKUP(AG16,FriFoodTable,6)*AB16)+(HLOOKUP(AG16,FriHostTable,6)*AB16)+AK16,SUM(AK16,AL16,AM16))</f>
        <v>0</v>
      </c>
      <c r="AJ16" s="37">
        <f t="shared" ref="AJ16" si="167">IFERROR(IF(AH16="Bartender",(HLOOKUP(AG16,FriBarTable,6)*AB16)+AI16,AC16+AI16),"")</f>
        <v>0</v>
      </c>
      <c r="AK16" s="29">
        <f t="shared" ref="AK16" si="168">IF(AH16="Server",-AE16*AlcoholTipPercentage,0)+IF(AH16="Bartender",HLOOKUP(AG16,FriBarTable,5)*AB16)</f>
        <v>0</v>
      </c>
      <c r="AL16" s="29" t="str" cm="1">
        <f t="array" ref="AL16">IFERROR(_xlfn.IFS(HLOOKUP(AG16,FriFoodTable,2)=0,0,OR(AH16="Server",AH16="Bartender"),-AD16*FoodTipPercentage,OR(AH16="Expo",AH16="Food Runner"),HLOOKUP(AG16,FriFoodTable,5)*AB16,AH16="Host",0),"")</f>
        <v/>
      </c>
      <c r="AM16" s="29" t="str" cm="1">
        <f t="array" ref="AM16">IFERROR(_xlfn.IFS(HLOOKUP(AG16,FriHostTable,2)=0,0,OR(AH16="Server",AH16="Bartender"),-AF16*HostTipPercentage,AH16="Host",HLOOKUP(AG16,FriHostTable,5)*AB16,OR(AH16="Expo",AH16="Food Runner"),0),"")</f>
        <v/>
      </c>
      <c r="AN16" s="57"/>
      <c r="AO16" s="58"/>
      <c r="AP16" s="57"/>
      <c r="AQ16" s="57"/>
      <c r="AR16" s="57"/>
      <c r="AS16" s="36">
        <f t="shared" si="24"/>
        <v>0</v>
      </c>
      <c r="AT16" s="57"/>
      <c r="AU16" s="57"/>
      <c r="AV16" s="36">
        <f t="shared" ref="AV16" si="169">IF(AU16="Bartender",(HLOOKUP(AT16,SunFoodTable,6)*AO16)+(HLOOKUP(AT16,SunHostTable,6)*AO16)+AX16,SUM(AX16,AY16,AZ16))</f>
        <v>0</v>
      </c>
      <c r="AW16" s="36">
        <f t="shared" ref="AW16" si="170">IFERROR(IF(AU16="Bartender",(HLOOKUP(AT16,SunBarTable,6)*AO16)+AV16,AP16+AV16),"")</f>
        <v>0</v>
      </c>
      <c r="AX16" s="29">
        <f t="shared" ref="AX16" si="171">IF(AU16="Server",-AR16*AlcoholTipPercentage,0)+IF(AU16="Bartender",HLOOKUP(AT16,SunBarTable,5)*AO16)</f>
        <v>0</v>
      </c>
      <c r="AY16" s="29" t="str" cm="1">
        <f t="array" ref="AY16">IFERROR(_xlfn.IFS(HLOOKUP(AT16,SunFoodTable,2)=0,0,OR(AU16="Server",AU16="Bartender"),-AQ16*FoodTipPercentage,OR(AU16="Expo",AU16="Food Runner"),HLOOKUP(AT16,SunFoodTable,5)*AO16,AU16="Host",0),"")</f>
        <v/>
      </c>
      <c r="AZ16" s="29" t="str" cm="1">
        <f t="array" ref="AZ16">IFERROR(_xlfn.IFS(HLOOKUP(AT16,SunHostTable,2)=0,0,OR(AU16="Server",AU16="Bartender"),-AS16*HostTipPercentage,AU16="Host",HLOOKUP(AT16,SunHostTable,5)*AO16,OR(AU16="Expo",AU16="Food Runner"),0),"")</f>
        <v/>
      </c>
    </row>
    <row r="17" spans="1:52" x14ac:dyDescent="0.2">
      <c r="A17" s="55"/>
      <c r="B17" s="56"/>
      <c r="C17" s="55"/>
      <c r="D17" s="55"/>
      <c r="E17" s="55"/>
      <c r="F17" s="38">
        <f t="shared" si="12"/>
        <v>0</v>
      </c>
      <c r="G17" s="55"/>
      <c r="H17" s="55"/>
      <c r="I17" s="38">
        <f t="shared" ref="I17" si="172">IF(H17="Bartender",(HLOOKUP(G17,MonFoodTable,6)*B17)+(HLOOKUP(G17,MonHostTable,6)*B17)+K17,SUM(K17,L17,M17))</f>
        <v>0</v>
      </c>
      <c r="J17" s="38">
        <f t="shared" ref="J17" si="173">IFERROR(IF(H17="Bartender",(HLOOKUP(G17,MonBarTable,6)*B17)+I17,C17+I17),"")</f>
        <v>0</v>
      </c>
      <c r="K17" s="29">
        <f t="shared" ref="K17" si="174">IF(H17="Server",-E17*AlcoholTipPercentage,0)+IF(H17="Bartender",HLOOKUP(G17,MonBarTable,5)*B17)</f>
        <v>0</v>
      </c>
      <c r="L17" s="29" t="str" cm="1">
        <f t="array" ref="L17">IFERROR(_xlfn.IFS(HLOOKUP(G17,MonFoodTable,2)=0,0,OR(H17="Server",H17="Bartender"),-D17*FoodTipPercentage,OR(H17="Expo",H17="Food Runner"),HLOOKUP(G17,MonFoodTable,5)*B17,H17="Host",0),"")</f>
        <v/>
      </c>
      <c r="M17" s="29" t="str" cm="1">
        <f t="array" ref="M17">IFERROR(_xlfn.IFS(HLOOKUP(G17,MonHostTable,2)=0,0,OR(H17="Server",H17="Bartender"),-F17*HostTipPercentage,H17="Host",HLOOKUP(G17,MonHostTable,5)*B17,OR(H17="Expo",H17="Food Runner"),0),"")</f>
        <v/>
      </c>
      <c r="N17" s="57"/>
      <c r="O17" s="58"/>
      <c r="P17" s="57"/>
      <c r="Q17" s="57"/>
      <c r="R17" s="57"/>
      <c r="S17" s="36">
        <f t="shared" si="16"/>
        <v>0</v>
      </c>
      <c r="T17" s="57"/>
      <c r="U17" s="57"/>
      <c r="V17" s="36">
        <f t="shared" ref="V17" si="175">IF(U17="Bartender",(HLOOKUP(T17,WedFoodTable,6)*O17)+(HLOOKUP(T17,WedHostTable,6)*O17)+X17,SUM(X17,Y17,Z17))</f>
        <v>0</v>
      </c>
      <c r="W17" s="36">
        <f t="shared" ref="W17" si="176">IFERROR(IF(U17="Bartender",(HLOOKUP(T17,WedBarTable,6)*O17)+V17,P17+V17),"")</f>
        <v>0</v>
      </c>
      <c r="X17" s="29">
        <f t="shared" ref="X17" si="177">IF(U17="Server",-R17*AlcoholTipPercentage,0)+IF(U17="Bartender",HLOOKUP(T17,WedBarTable,5)*O17)</f>
        <v>0</v>
      </c>
      <c r="Y17" s="29" t="str" cm="1">
        <f t="array" ref="Y17">IFERROR(_xlfn.IFS(HLOOKUP(T17,WedFoodTable,2)=0,0,OR(U17="Server",U17="Bartender"),-Q17*FoodTipPercentage,OR(U17="Expo",U17="Food Runner"),HLOOKUP(T17,WedFoodTable,5)*O17,U17="Host",0),"")</f>
        <v/>
      </c>
      <c r="Z17" s="29" t="str" cm="1">
        <f t="array" ref="Z17">IFERROR(_xlfn.IFS(HLOOKUP(T17,WedHostTable,2)=0,0,OR(U17="Server",U17="Bartender"),-S17*HostTipPercentage,U17="Host",HLOOKUP(T17,WedHostTable,5)*O17,OR(U17="Expo",U17="Food Runner"),0),"")</f>
        <v/>
      </c>
      <c r="AA17" s="59"/>
      <c r="AB17" s="60"/>
      <c r="AC17" s="59"/>
      <c r="AD17" s="59"/>
      <c r="AE17" s="59"/>
      <c r="AF17" s="37">
        <f t="shared" si="20"/>
        <v>0</v>
      </c>
      <c r="AG17" s="59"/>
      <c r="AH17" s="59"/>
      <c r="AI17" s="37">
        <f t="shared" ref="AI17" si="178">IF(AH17="Bartender",(HLOOKUP(AG17,FriFoodTable,6)*AB17)+(HLOOKUP(AG17,FriHostTable,6)*AB17)+AK17,SUM(AK17,AL17,AM17))</f>
        <v>0</v>
      </c>
      <c r="AJ17" s="37">
        <f t="shared" ref="AJ17" si="179">IFERROR(IF(AH17="Bartender",(HLOOKUP(AG17,FriBarTable,6)*AB17)+AI17,AC17+AI17),"")</f>
        <v>0</v>
      </c>
      <c r="AK17" s="29">
        <f t="shared" ref="AK17" si="180">IF(AH17="Server",-AE17*AlcoholTipPercentage,0)+IF(AH17="Bartender",HLOOKUP(AG17,FriBarTable,5)*AB17)</f>
        <v>0</v>
      </c>
      <c r="AL17" s="29" t="str" cm="1">
        <f t="array" ref="AL17">IFERROR(_xlfn.IFS(HLOOKUP(AG17,FriFoodTable,2)=0,0,OR(AH17="Server",AH17="Bartender"),-AD17*FoodTipPercentage,OR(AH17="Expo",AH17="Food Runner"),HLOOKUP(AG17,FriFoodTable,5)*AB17,AH17="Host",0),"")</f>
        <v/>
      </c>
      <c r="AM17" s="29" t="str" cm="1">
        <f t="array" ref="AM17">IFERROR(_xlfn.IFS(HLOOKUP(AG17,FriHostTable,2)=0,0,OR(AH17="Server",AH17="Bartender"),-AF17*HostTipPercentage,AH17="Host",HLOOKUP(AG17,FriHostTable,5)*AB17,OR(AH17="Expo",AH17="Food Runner"),0),"")</f>
        <v/>
      </c>
      <c r="AN17" s="57"/>
      <c r="AO17" s="58"/>
      <c r="AP17" s="57"/>
      <c r="AQ17" s="57"/>
      <c r="AR17" s="57"/>
      <c r="AS17" s="36">
        <f t="shared" si="24"/>
        <v>0</v>
      </c>
      <c r="AT17" s="57"/>
      <c r="AU17" s="57"/>
      <c r="AV17" s="36">
        <f t="shared" ref="AV17" si="181">IF(AU17="Bartender",(HLOOKUP(AT17,SunFoodTable,6)*AO17)+(HLOOKUP(AT17,SunHostTable,6)*AO17)+AX17,SUM(AX17,AY17,AZ17))</f>
        <v>0</v>
      </c>
      <c r="AW17" s="36">
        <f t="shared" ref="AW17" si="182">IFERROR(IF(AU17="Bartender",(HLOOKUP(AT17,SunBarTable,6)*AO17)+AV17,AP17+AV17),"")</f>
        <v>0</v>
      </c>
      <c r="AX17" s="29">
        <f t="shared" ref="AX17" si="183">IF(AU17="Server",-AR17*AlcoholTipPercentage,0)+IF(AU17="Bartender",HLOOKUP(AT17,SunBarTable,5)*AO17)</f>
        <v>0</v>
      </c>
      <c r="AY17" s="29" t="str" cm="1">
        <f t="array" ref="AY17">IFERROR(_xlfn.IFS(HLOOKUP(AT17,SunFoodTable,2)=0,0,OR(AU17="Server",AU17="Bartender"),-AQ17*FoodTipPercentage,OR(AU17="Expo",AU17="Food Runner"),HLOOKUP(AT17,SunFoodTable,5)*AO17,AU17="Host",0),"")</f>
        <v/>
      </c>
      <c r="AZ17" s="29" t="str" cm="1">
        <f t="array" ref="AZ17">IFERROR(_xlfn.IFS(HLOOKUP(AT17,SunHostTable,2)=0,0,OR(AU17="Server",AU17="Bartender"),-AS17*HostTipPercentage,AU17="Host",HLOOKUP(AT17,SunHostTable,5)*AO17,OR(AU17="Expo",AU17="Food Runner"),0),"")</f>
        <v/>
      </c>
    </row>
    <row r="18" spans="1:52" x14ac:dyDescent="0.2">
      <c r="A18" s="55"/>
      <c r="B18" s="56"/>
      <c r="C18" s="55"/>
      <c r="D18" s="55"/>
      <c r="E18" s="55"/>
      <c r="F18" s="38">
        <f t="shared" si="12"/>
        <v>0</v>
      </c>
      <c r="G18" s="55"/>
      <c r="H18" s="55"/>
      <c r="I18" s="38">
        <f t="shared" ref="I18" si="184">IF(H18="Bartender",(HLOOKUP(G18,MonFoodTable,6)*B18)+(HLOOKUP(G18,MonHostTable,6)*B18)+K18,SUM(K18,L18,M18))</f>
        <v>0</v>
      </c>
      <c r="J18" s="38">
        <f t="shared" ref="J18" si="185">IFERROR(IF(H18="Bartender",(HLOOKUP(G18,MonBarTable,6)*B18)+I18,C18+I18),"")</f>
        <v>0</v>
      </c>
      <c r="K18" s="29">
        <f t="shared" ref="K18" si="186">IF(H18="Server",-E18*AlcoholTipPercentage,0)+IF(H18="Bartender",HLOOKUP(G18,MonBarTable,5)*B18)</f>
        <v>0</v>
      </c>
      <c r="L18" s="29" t="str" cm="1">
        <f t="array" ref="L18">IFERROR(_xlfn.IFS(HLOOKUP(G18,MonFoodTable,2)=0,0,OR(H18="Server",H18="Bartender"),-D18*FoodTipPercentage,OR(H18="Expo",H18="Food Runner"),HLOOKUP(G18,MonFoodTable,5)*B18,H18="Host",0),"")</f>
        <v/>
      </c>
      <c r="M18" s="29" t="str" cm="1">
        <f t="array" ref="M18">IFERROR(_xlfn.IFS(HLOOKUP(G18,MonHostTable,2)=0,0,OR(H18="Server",H18="Bartender"),-F18*HostTipPercentage,H18="Host",HLOOKUP(G18,MonHostTable,5)*B18,OR(H18="Expo",H18="Food Runner"),0),"")</f>
        <v/>
      </c>
      <c r="N18" s="57"/>
      <c r="O18" s="58"/>
      <c r="P18" s="57"/>
      <c r="Q18" s="57"/>
      <c r="R18" s="57"/>
      <c r="S18" s="36">
        <f t="shared" si="16"/>
        <v>0</v>
      </c>
      <c r="T18" s="57"/>
      <c r="U18" s="57"/>
      <c r="V18" s="36">
        <f t="shared" ref="V18" si="187">IF(U18="Bartender",(HLOOKUP(T18,WedFoodTable,6)*O18)+(HLOOKUP(T18,WedHostTable,6)*O18)+X18,SUM(X18,Y18,Z18))</f>
        <v>0</v>
      </c>
      <c r="W18" s="36">
        <f t="shared" ref="W18" si="188">IFERROR(IF(U18="Bartender",(HLOOKUP(T18,WedBarTable,6)*O18)+V18,P18+V18),"")</f>
        <v>0</v>
      </c>
      <c r="X18" s="29">
        <f t="shared" ref="X18" si="189">IF(U18="Server",-R18*AlcoholTipPercentage,0)+IF(U18="Bartender",HLOOKUP(T18,WedBarTable,5)*O18)</f>
        <v>0</v>
      </c>
      <c r="Y18" s="29" t="str" cm="1">
        <f t="array" ref="Y18">IFERROR(_xlfn.IFS(HLOOKUP(T18,WedFoodTable,2)=0,0,OR(U18="Server",U18="Bartender"),-Q18*FoodTipPercentage,OR(U18="Expo",U18="Food Runner"),HLOOKUP(T18,WedFoodTable,5)*O18,U18="Host",0),"")</f>
        <v/>
      </c>
      <c r="Z18" s="29" t="str" cm="1">
        <f t="array" ref="Z18">IFERROR(_xlfn.IFS(HLOOKUP(T18,WedHostTable,2)=0,0,OR(U18="Server",U18="Bartender"),-S18*HostTipPercentage,U18="Host",HLOOKUP(T18,WedHostTable,5)*O18,OR(U18="Expo",U18="Food Runner"),0),"")</f>
        <v/>
      </c>
      <c r="AA18" s="59"/>
      <c r="AB18" s="60"/>
      <c r="AC18" s="59"/>
      <c r="AD18" s="59"/>
      <c r="AE18" s="59"/>
      <c r="AF18" s="37">
        <f t="shared" si="20"/>
        <v>0</v>
      </c>
      <c r="AG18" s="59"/>
      <c r="AH18" s="59"/>
      <c r="AI18" s="37">
        <f t="shared" ref="AI18" si="190">IF(AH18="Bartender",(HLOOKUP(AG18,FriFoodTable,6)*AB18)+(HLOOKUP(AG18,FriHostTable,6)*AB18)+AK18,SUM(AK18,AL18,AM18))</f>
        <v>0</v>
      </c>
      <c r="AJ18" s="37">
        <f t="shared" ref="AJ18" si="191">IFERROR(IF(AH18="Bartender",(HLOOKUP(AG18,FriBarTable,6)*AB18)+AI18,AC18+AI18),"")</f>
        <v>0</v>
      </c>
      <c r="AK18" s="29">
        <f t="shared" ref="AK18" si="192">IF(AH18="Server",-AE18*AlcoholTipPercentage,0)+IF(AH18="Bartender",HLOOKUP(AG18,FriBarTable,5)*AB18)</f>
        <v>0</v>
      </c>
      <c r="AL18" s="29" t="str" cm="1">
        <f t="array" ref="AL18">IFERROR(_xlfn.IFS(HLOOKUP(AG18,FriFoodTable,2)=0,0,OR(AH18="Server",AH18="Bartender"),-AD18*FoodTipPercentage,OR(AH18="Expo",AH18="Food Runner"),HLOOKUP(AG18,FriFoodTable,5)*AB18,AH18="Host",0),"")</f>
        <v/>
      </c>
      <c r="AM18" s="29" t="str" cm="1">
        <f t="array" ref="AM18">IFERROR(_xlfn.IFS(HLOOKUP(AG18,FriHostTable,2)=0,0,OR(AH18="Server",AH18="Bartender"),-AF18*HostTipPercentage,AH18="Host",HLOOKUP(AG18,FriHostTable,5)*AB18,OR(AH18="Expo",AH18="Food Runner"),0),"")</f>
        <v/>
      </c>
      <c r="AN18" s="57"/>
      <c r="AO18" s="58"/>
      <c r="AP18" s="57"/>
      <c r="AQ18" s="57"/>
      <c r="AR18" s="57"/>
      <c r="AS18" s="36">
        <f t="shared" si="24"/>
        <v>0</v>
      </c>
      <c r="AT18" s="57"/>
      <c r="AU18" s="57"/>
      <c r="AV18" s="36">
        <f t="shared" ref="AV18" si="193">IF(AU18="Bartender",(HLOOKUP(AT18,SunFoodTable,6)*AO18)+(HLOOKUP(AT18,SunHostTable,6)*AO18)+AX18,SUM(AX18,AY18,AZ18))</f>
        <v>0</v>
      </c>
      <c r="AW18" s="36">
        <f t="shared" ref="AW18" si="194">IFERROR(IF(AU18="Bartender",(HLOOKUP(AT18,SunBarTable,6)*AO18)+AV18,AP18+AV18),"")</f>
        <v>0</v>
      </c>
      <c r="AX18" s="29">
        <f t="shared" ref="AX18" si="195">IF(AU18="Server",-AR18*AlcoholTipPercentage,0)+IF(AU18="Bartender",HLOOKUP(AT18,SunBarTable,5)*AO18)</f>
        <v>0</v>
      </c>
      <c r="AY18" s="29" t="str" cm="1">
        <f t="array" ref="AY18">IFERROR(_xlfn.IFS(HLOOKUP(AT18,SunFoodTable,2)=0,0,OR(AU18="Server",AU18="Bartender"),-AQ18*FoodTipPercentage,OR(AU18="Expo",AU18="Food Runner"),HLOOKUP(AT18,SunFoodTable,5)*AO18,AU18="Host",0),"")</f>
        <v/>
      </c>
      <c r="AZ18" s="29" t="str" cm="1">
        <f t="array" ref="AZ18">IFERROR(_xlfn.IFS(HLOOKUP(AT18,SunHostTable,2)=0,0,OR(AU18="Server",AU18="Bartender"),-AS18*HostTipPercentage,AU18="Host",HLOOKUP(AT18,SunHostTable,5)*AO18,OR(AU18="Expo",AU18="Food Runner"),0),"")</f>
        <v/>
      </c>
    </row>
    <row r="19" spans="1:52" x14ac:dyDescent="0.2">
      <c r="A19" s="55"/>
      <c r="B19" s="56"/>
      <c r="C19" s="55"/>
      <c r="D19" s="55"/>
      <c r="E19" s="55"/>
      <c r="F19" s="38">
        <f t="shared" si="12"/>
        <v>0</v>
      </c>
      <c r="G19" s="55"/>
      <c r="H19" s="55"/>
      <c r="I19" s="38">
        <f t="shared" ref="I19" si="196">IF(H19="Bartender",(HLOOKUP(G19,MonFoodTable,6)*B19)+(HLOOKUP(G19,MonHostTable,6)*B19)+K19,SUM(K19,L19,M19))</f>
        <v>0</v>
      </c>
      <c r="J19" s="38">
        <f t="shared" ref="J19" si="197">IFERROR(IF(H19="Bartender",(HLOOKUP(G19,MonBarTable,6)*B19)+I19,C19+I19),"")</f>
        <v>0</v>
      </c>
      <c r="K19" s="29">
        <f t="shared" ref="K19" si="198">IF(H19="Server",-E19*AlcoholTipPercentage,0)+IF(H19="Bartender",HLOOKUP(G19,MonBarTable,5)*B19)</f>
        <v>0</v>
      </c>
      <c r="L19" s="29" t="str" cm="1">
        <f t="array" ref="L19">IFERROR(_xlfn.IFS(HLOOKUP(G19,MonFoodTable,2)=0,0,OR(H19="Server",H19="Bartender"),-D19*FoodTipPercentage,OR(H19="Expo",H19="Food Runner"),HLOOKUP(G19,MonFoodTable,5)*B19,H19="Host",0),"")</f>
        <v/>
      </c>
      <c r="M19" s="29" t="str" cm="1">
        <f t="array" ref="M19">IFERROR(_xlfn.IFS(HLOOKUP(G19,MonHostTable,2)=0,0,OR(H19="Server",H19="Bartender"),-F19*HostTipPercentage,H19="Host",HLOOKUP(G19,MonHostTable,5)*B19,OR(H19="Expo",H19="Food Runner"),0),"")</f>
        <v/>
      </c>
      <c r="N19" s="57"/>
      <c r="O19" s="58"/>
      <c r="P19" s="57"/>
      <c r="Q19" s="57"/>
      <c r="R19" s="57"/>
      <c r="S19" s="36">
        <f t="shared" si="16"/>
        <v>0</v>
      </c>
      <c r="T19" s="57"/>
      <c r="U19" s="57"/>
      <c r="V19" s="36">
        <f t="shared" ref="V19" si="199">IF(U19="Bartender",(HLOOKUP(T19,WedFoodTable,6)*O19)+(HLOOKUP(T19,WedHostTable,6)*O19)+X19,SUM(X19,Y19,Z19))</f>
        <v>0</v>
      </c>
      <c r="W19" s="36">
        <f t="shared" ref="W19" si="200">IFERROR(IF(U19="Bartender",(HLOOKUP(T19,WedBarTable,6)*O19)+V19,P19+V19),"")</f>
        <v>0</v>
      </c>
      <c r="X19" s="29">
        <f t="shared" ref="X19" si="201">IF(U19="Server",-R19*AlcoholTipPercentage,0)+IF(U19="Bartender",HLOOKUP(T19,WedBarTable,5)*O19)</f>
        <v>0</v>
      </c>
      <c r="Y19" s="29" t="str" cm="1">
        <f t="array" ref="Y19">IFERROR(_xlfn.IFS(HLOOKUP(T19,WedFoodTable,2)=0,0,OR(U19="Server",U19="Bartender"),-Q19*FoodTipPercentage,OR(U19="Expo",U19="Food Runner"),HLOOKUP(T19,WedFoodTable,5)*O19,U19="Host",0),"")</f>
        <v/>
      </c>
      <c r="Z19" s="29" t="str" cm="1">
        <f t="array" ref="Z19">IFERROR(_xlfn.IFS(HLOOKUP(T19,WedHostTable,2)=0,0,OR(U19="Server",U19="Bartender"),-S19*HostTipPercentage,U19="Host",HLOOKUP(T19,WedHostTable,5)*O19,OR(U19="Expo",U19="Food Runner"),0),"")</f>
        <v/>
      </c>
      <c r="AA19" s="59"/>
      <c r="AB19" s="60"/>
      <c r="AC19" s="59"/>
      <c r="AD19" s="59"/>
      <c r="AE19" s="59"/>
      <c r="AF19" s="37">
        <f t="shared" si="20"/>
        <v>0</v>
      </c>
      <c r="AG19" s="59"/>
      <c r="AH19" s="59"/>
      <c r="AI19" s="37">
        <f t="shared" ref="AI19" si="202">IF(AH19="Bartender",(HLOOKUP(AG19,FriFoodTable,6)*AB19)+(HLOOKUP(AG19,FriHostTable,6)*AB19)+AK19,SUM(AK19,AL19,AM19))</f>
        <v>0</v>
      </c>
      <c r="AJ19" s="37">
        <f t="shared" ref="AJ19" si="203">IFERROR(IF(AH19="Bartender",(HLOOKUP(AG19,FriBarTable,6)*AB19)+AI19,AC19+AI19),"")</f>
        <v>0</v>
      </c>
      <c r="AK19" s="29">
        <f t="shared" ref="AK19" si="204">IF(AH19="Server",-AE19*AlcoholTipPercentage,0)+IF(AH19="Bartender",HLOOKUP(AG19,FriBarTable,5)*AB19)</f>
        <v>0</v>
      </c>
      <c r="AL19" s="29" t="str" cm="1">
        <f t="array" ref="AL19">IFERROR(_xlfn.IFS(HLOOKUP(AG19,FriFoodTable,2)=0,0,OR(AH19="Server",AH19="Bartender"),-AD19*FoodTipPercentage,OR(AH19="Expo",AH19="Food Runner"),HLOOKUP(AG19,FriFoodTable,5)*AB19,AH19="Host",0),"")</f>
        <v/>
      </c>
      <c r="AM19" s="29" t="str" cm="1">
        <f t="array" ref="AM19">IFERROR(_xlfn.IFS(HLOOKUP(AG19,FriHostTable,2)=0,0,OR(AH19="Server",AH19="Bartender"),-AF19*HostTipPercentage,AH19="Host",HLOOKUP(AG19,FriHostTable,5)*AB19,OR(AH19="Expo",AH19="Food Runner"),0),"")</f>
        <v/>
      </c>
      <c r="AN19" s="57"/>
      <c r="AO19" s="58"/>
      <c r="AP19" s="57"/>
      <c r="AQ19" s="57"/>
      <c r="AR19" s="57"/>
      <c r="AS19" s="36">
        <f t="shared" si="24"/>
        <v>0</v>
      </c>
      <c r="AT19" s="57"/>
      <c r="AU19" s="57"/>
      <c r="AV19" s="36">
        <f t="shared" ref="AV19" si="205">IF(AU19="Bartender",(HLOOKUP(AT19,SunFoodTable,6)*AO19)+(HLOOKUP(AT19,SunHostTable,6)*AO19)+AX19,SUM(AX19,AY19,AZ19))</f>
        <v>0</v>
      </c>
      <c r="AW19" s="36">
        <f t="shared" ref="AW19" si="206">IFERROR(IF(AU19="Bartender",(HLOOKUP(AT19,SunBarTable,6)*AO19)+AV19,AP19+AV19),"")</f>
        <v>0</v>
      </c>
      <c r="AX19" s="29">
        <f t="shared" ref="AX19" si="207">IF(AU19="Server",-AR19*AlcoholTipPercentage,0)+IF(AU19="Bartender",HLOOKUP(AT19,SunBarTable,5)*AO19)</f>
        <v>0</v>
      </c>
      <c r="AY19" s="29" t="str" cm="1">
        <f t="array" ref="AY19">IFERROR(_xlfn.IFS(HLOOKUP(AT19,SunFoodTable,2)=0,0,OR(AU19="Server",AU19="Bartender"),-AQ19*FoodTipPercentage,OR(AU19="Expo",AU19="Food Runner"),HLOOKUP(AT19,SunFoodTable,5)*AO19,AU19="Host",0),"")</f>
        <v/>
      </c>
      <c r="AZ19" s="29" t="str" cm="1">
        <f t="array" ref="AZ19">IFERROR(_xlfn.IFS(HLOOKUP(AT19,SunHostTable,2)=0,0,OR(AU19="Server",AU19="Bartender"),-AS19*HostTipPercentage,AU19="Host",HLOOKUP(AT19,SunHostTable,5)*AO19,OR(AU19="Expo",AU19="Food Runner"),0),"")</f>
        <v/>
      </c>
    </row>
    <row r="20" spans="1:52" x14ac:dyDescent="0.2">
      <c r="A20" s="29" t="s">
        <v>15</v>
      </c>
      <c r="B20" s="51" t="s">
        <v>15</v>
      </c>
      <c r="C20" s="29" t="s">
        <v>26</v>
      </c>
      <c r="D20" s="29" t="s">
        <v>33</v>
      </c>
      <c r="E20" s="29" t="s">
        <v>30</v>
      </c>
      <c r="I20" s="29" t="s">
        <v>34</v>
      </c>
      <c r="K20" s="29">
        <f>SUM(K3:K19)</f>
        <v>0</v>
      </c>
      <c r="L20" s="29">
        <f>SUM(L3:L19)</f>
        <v>0</v>
      </c>
      <c r="M20" s="29">
        <f>SUM(M3:M19)</f>
        <v>0</v>
      </c>
      <c r="N20" s="29" t="s">
        <v>15</v>
      </c>
      <c r="O20" s="51" t="s">
        <v>15</v>
      </c>
      <c r="P20" s="29" t="s">
        <v>26</v>
      </c>
      <c r="Q20" s="29" t="s">
        <v>33</v>
      </c>
      <c r="R20" s="29" t="s">
        <v>30</v>
      </c>
      <c r="V20" s="29" t="s">
        <v>34</v>
      </c>
      <c r="X20" s="29">
        <f>SUM(X3:X19)</f>
        <v>0</v>
      </c>
      <c r="Y20" s="29">
        <f>SUM(Y3:Y19)</f>
        <v>0</v>
      </c>
      <c r="Z20" s="29">
        <f>SUM(Z3:Z19)</f>
        <v>0</v>
      </c>
      <c r="AA20" s="29" t="s">
        <v>15</v>
      </c>
      <c r="AB20" s="51" t="s">
        <v>15</v>
      </c>
      <c r="AC20" s="29" t="s">
        <v>26</v>
      </c>
      <c r="AD20" s="29" t="s">
        <v>33</v>
      </c>
      <c r="AE20" s="29" t="s">
        <v>30</v>
      </c>
      <c r="AI20" s="29" t="s">
        <v>34</v>
      </c>
      <c r="AK20" s="29">
        <f>SUM(AK3:AK19)</f>
        <v>0</v>
      </c>
      <c r="AL20" s="29">
        <f>SUM(AL3:AL19)</f>
        <v>0</v>
      </c>
      <c r="AM20" s="29">
        <f>SUM(AM3:AM19)</f>
        <v>0</v>
      </c>
      <c r="AN20" s="29" t="s">
        <v>15</v>
      </c>
      <c r="AO20" s="51" t="s">
        <v>15</v>
      </c>
      <c r="AP20" s="29" t="s">
        <v>26</v>
      </c>
      <c r="AQ20" s="29" t="s">
        <v>33</v>
      </c>
      <c r="AR20" s="29" t="s">
        <v>30</v>
      </c>
      <c r="AV20" s="29" t="s">
        <v>34</v>
      </c>
      <c r="AX20" s="29">
        <f>SUM(AX3:AX19)</f>
        <v>0</v>
      </c>
      <c r="AY20" s="29">
        <f>SUM(AY3:AY19)</f>
        <v>0</v>
      </c>
      <c r="AZ20" s="29">
        <f>SUM(AZ3:AZ19)</f>
        <v>0</v>
      </c>
    </row>
    <row r="21" spans="1:52" x14ac:dyDescent="0.2">
      <c r="A21" s="29" t="s">
        <v>14</v>
      </c>
      <c r="B21" s="51" t="s">
        <v>20</v>
      </c>
      <c r="C21" s="29" t="s">
        <v>14</v>
      </c>
      <c r="D21" s="29" t="s">
        <v>20</v>
      </c>
      <c r="E21" s="29" t="s">
        <v>14</v>
      </c>
      <c r="F21" s="29" t="s">
        <v>20</v>
      </c>
      <c r="N21" s="29" t="s">
        <v>14</v>
      </c>
      <c r="O21" s="51" t="s">
        <v>20</v>
      </c>
      <c r="P21" s="29" t="s">
        <v>14</v>
      </c>
      <c r="Q21" s="29" t="s">
        <v>20</v>
      </c>
      <c r="R21" s="29" t="s">
        <v>14</v>
      </c>
      <c r="S21" s="29" t="s">
        <v>20</v>
      </c>
      <c r="AA21" s="29" t="s">
        <v>14</v>
      </c>
      <c r="AB21" s="51" t="s">
        <v>20</v>
      </c>
      <c r="AC21" s="29" t="s">
        <v>14</v>
      </c>
      <c r="AD21" s="29" t="s">
        <v>20</v>
      </c>
      <c r="AE21" s="29" t="s">
        <v>14</v>
      </c>
      <c r="AF21" s="29" t="s">
        <v>20</v>
      </c>
      <c r="AN21" s="29" t="s">
        <v>14</v>
      </c>
      <c r="AO21" s="51" t="s">
        <v>20</v>
      </c>
      <c r="AP21" s="29" t="s">
        <v>14</v>
      </c>
      <c r="AQ21" s="29" t="s">
        <v>20</v>
      </c>
      <c r="AR21" s="29" t="s">
        <v>14</v>
      </c>
      <c r="AS21" s="29" t="s">
        <v>20</v>
      </c>
    </row>
    <row r="22" spans="1:52" x14ac:dyDescent="0.2">
      <c r="A22" s="29">
        <f>SUMIFS(Template!MonHours,Template!MonAMPM,A21,Template!MonJobCode,"Bartender")</f>
        <v>0</v>
      </c>
      <c r="B22" s="51">
        <f>SUMIFS(Template!MonHours,Template!MonAMPM,B21,Template!MonJobCode,"Bartender")</f>
        <v>0</v>
      </c>
      <c r="C22" s="29">
        <f>SUMIFS(Template!MonHours,Template!MonAMPM,C21,Template!MonJobCode,"Food Runner")+SUMIFS(Template!MonHours,Template!MonAMPM,C21,Template!MonJobCode,"Expo")</f>
        <v>0</v>
      </c>
      <c r="D22" s="29">
        <f>SUMIFS(Template!MonHours,Template!MonAMPM,D21,Template!MonJobCode,"Food Runner")+SUMIFS(Template!MonHours,Template!MonAMPM,D21,Template!MonJobCode,"Expo")</f>
        <v>0</v>
      </c>
      <c r="E22" s="29">
        <f>SUMIFS(Template!MonHours,Template!MonAMPM,E21,Template!MonJobCode,"Host")</f>
        <v>0</v>
      </c>
      <c r="F22" s="29">
        <f>SUMIFS(Template!MonHours,Template!MonAMPM,F21,Template!MonJobCode,"Host")</f>
        <v>0</v>
      </c>
      <c r="G22" s="29" t="s">
        <v>35</v>
      </c>
      <c r="N22" s="29">
        <f>SUMIFS(Template!WedHours,Template!WedAMPM,N21,Template!WedJobCode,"Bartender")</f>
        <v>0</v>
      </c>
      <c r="O22" s="51">
        <f>SUMIFS(Template!WedHours,Template!WedAMPM,O21,Template!WedJobCode,"Bartender")</f>
        <v>0</v>
      </c>
      <c r="P22" s="29">
        <f>SUMIFS(Template!WedHours,Template!WedAMPM,P21,Template!WedJobCode,"Food Runner")+SUMIFS(Template!WedHours,Template!WedAMPM,P21,Template!WedJobCode,"Expo")</f>
        <v>0</v>
      </c>
      <c r="Q22" s="29">
        <f>SUMIFS(Template!WedHours,Template!WedAMPM,Q21,Template!WedJobCode,"Food Runner")+SUMIFS(Template!WedHours,Template!WedAMPM,Q21,Template!WedJobCode,"Expo")</f>
        <v>0</v>
      </c>
      <c r="R22" s="29">
        <f>SUMIFS(Template!WedHours,Template!WedAMPM,R21,Template!WedJobCode,"Host")</f>
        <v>0</v>
      </c>
      <c r="S22" s="29">
        <f>SUMIFS(Template!WedHours,Template!WedAMPM,S21,Template!WedJobCode,"Host")</f>
        <v>0</v>
      </c>
      <c r="T22" s="29" t="s">
        <v>35</v>
      </c>
      <c r="AA22" s="29">
        <f>SUMIFS(Template!FriHours,Template!FriAMPM,AA21,Template!FriJobCode,"Bartender")</f>
        <v>0</v>
      </c>
      <c r="AB22" s="51">
        <f>SUMIFS(Template!FriHours,Template!FriAMPM,AB21,Template!FriJobCode,"Bartender")</f>
        <v>0</v>
      </c>
      <c r="AC22" s="29">
        <f>SUMIFS(Template!FriHours,Template!FriAMPM,AC21,Template!FriJobCode,"Food Runner")+SUMIFS(Template!FriHours,Template!FriAMPM,AC21,Template!FriJobCode,"Expo")</f>
        <v>0</v>
      </c>
      <c r="AD22" s="29">
        <f>SUMIFS(Template!FriHours,Template!FriAMPM,AD21,Template!FriJobCode,"Food Runner")+SUMIFS(Template!FriHours,Template!FriAMPM,AD21,Template!FriJobCode,"Expo")</f>
        <v>0</v>
      </c>
      <c r="AE22" s="29">
        <f>SUMIFS(Template!FriHours,Template!FriAMPM,AE21,Template!FriJobCode,"Host")</f>
        <v>0</v>
      </c>
      <c r="AF22" s="29">
        <f>SUMIFS(Template!FriHours,Template!FriAMPM,AF21,Template!FriJobCode,"Host")</f>
        <v>0</v>
      </c>
      <c r="AG22" s="29" t="s">
        <v>35</v>
      </c>
      <c r="AN22" s="29">
        <f>SUMIFS(Template!SunHours,Template!SunAMPM,AN21,Template!SunJobCode,"Bartender")</f>
        <v>0</v>
      </c>
      <c r="AO22" s="51">
        <f>SUMIFS(Template!SunHours,Template!SunAMPM,AO21,Template!SunJobCode,"Bartender")</f>
        <v>0</v>
      </c>
      <c r="AP22" s="29">
        <f>SUMIFS(Template!SunHours,Template!SunAMPM,AP21,Template!SunJobCode,"Food Runner")+SUMIFS(Template!SunHours,Template!SunAMPM,AP21,Template!SunJobCode,"Expo")</f>
        <v>0</v>
      </c>
      <c r="AQ22" s="29">
        <f>SUMIFS(Template!SunHours,Template!SunAMPM,AQ21,Template!SunJobCode,"Food Runner")+SUMIFS(Template!SunHours,Template!SunAMPM,AQ21,Template!SunJobCode,"Expo")</f>
        <v>0</v>
      </c>
      <c r="AR22" s="29">
        <f>SUMIFS(Template!SunHours,Template!SunAMPM,AR21,Template!SunJobCode,"Host")</f>
        <v>0</v>
      </c>
      <c r="AS22" s="29">
        <f>SUMIFS(Template!SunHours,Template!SunAMPM,AS21,Template!SunJobCode,"Host")</f>
        <v>0</v>
      </c>
      <c r="AT22" s="29" t="s">
        <v>35</v>
      </c>
    </row>
    <row r="23" spans="1:52" x14ac:dyDescent="0.2">
      <c r="A23" s="29">
        <f>SUMIFS(MonAlcTipout,Template!MonAMPM,A21,Template!MonJobCode,"&lt;&gt;Bartender")*-1</f>
        <v>0</v>
      </c>
      <c r="B23" s="72">
        <f>SUMIFS(MonAlcTipout,Template!MonAMPM,B21,Template!MonJobCode,"&lt;&gt;Bartender")*-1</f>
        <v>0</v>
      </c>
      <c r="C23" s="29">
        <f>ABS(IF(C22=0,0,(SUMIFS(MonFoodTipout,Template!MonAMPM,C21,Template!MonJobCode,"Server")+(SUMIFS(MonFoodTipout,Template!MonAMPM,C21,Template!MonJobCode,"Bartender")))))</f>
        <v>0</v>
      </c>
      <c r="D23" s="29">
        <f>ABS(IF(D22=0,0,(SUMIFS(MonFoodTipout,Template!MonAMPM,D21,Template!MonJobCode,"Server")+(SUMIFS(MonFoodTipout,Template!MonAMPM,D21,Template!MonJobCode,"Bartender")))))</f>
        <v>0</v>
      </c>
      <c r="E23" s="29">
        <f>ABS(SUMIFS(MonHostTipout,Template!MonAMPM,E21,Template!MonJobCode,"&lt;&gt;Host"))</f>
        <v>0</v>
      </c>
      <c r="F23" s="29">
        <f>ABS(SUMIFS(MonHostTipout,Template!MonAMPM,F21,Template!MonJobCode,"&lt;&gt;Host"))</f>
        <v>0</v>
      </c>
      <c r="G23" s="29" t="s">
        <v>36</v>
      </c>
      <c r="N23" s="29">
        <f>SUMIFS(WedAlcTipout,Template!WedAMPM,N21,Template!WedJobCode,"&lt;&gt;Bartender")*-1</f>
        <v>0</v>
      </c>
      <c r="O23" s="72">
        <f>SUMIFS(WedAlcTipout,Template!WedAMPM,O21,Template!WedJobCode,"&lt;&gt;Bartender")*-1</f>
        <v>0</v>
      </c>
      <c r="P23" s="29">
        <f>ABS(IF(P22=0,0,(SUMIFS(WedFoodTipout,Template!WedAMPM,P21,Template!WedJobCode,"Server")+(SUMIFS(WedFoodTipout,Template!WedAMPM,P21,Template!WedJobCode,"Bartender")))))</f>
        <v>0</v>
      </c>
      <c r="Q23" s="29">
        <f>ABS(IF(Q22=0,0,(SUMIFS(WedFoodTipout,Template!WedAMPM,Q21,Template!WedJobCode,"Server")+(SUMIFS(WedFoodTipout,Template!WedAMPM,Q21,Template!WedJobCode,"Bartender")))))</f>
        <v>0</v>
      </c>
      <c r="R23" s="29">
        <f>ABS(SUMIFS(WedHostTipout,Template!WedAMPM,R21,Template!WedJobCode,"&lt;&gt;Host"))</f>
        <v>0</v>
      </c>
      <c r="S23" s="29">
        <f>ABS(SUMIFS(WedHostTipout,Template!WedAMPM,S21,Template!WedJobCode,"&lt;&gt;Host"))</f>
        <v>0</v>
      </c>
      <c r="T23" s="29" t="s">
        <v>36</v>
      </c>
      <c r="AA23" s="29">
        <f>SUMIFS(FriAlcTipout,Template!FriAMPM,AA21,Template!FriJobCode,"&lt;&gt;Bartender")*-1</f>
        <v>0</v>
      </c>
      <c r="AB23" s="72">
        <f>SUMIFS(FriAlcTipout,Template!FriAMPM,AB21,Template!FriJobCode,"&lt;&gt;Bartender")*-1</f>
        <v>0</v>
      </c>
      <c r="AC23" s="29">
        <f>ABS(IF(AC22=0,0,(SUMIFS(FriFoodTipout,Template!FriAMPM,AC21,Template!FriJobCode,"Server")+(SUMIFS(FriFoodTipout,Template!FriAMPM,AC21,Template!FriJobCode,"Bartender")))))</f>
        <v>0</v>
      </c>
      <c r="AD23" s="29">
        <f>ABS(IF(AD22=0,0,(SUMIFS(FriFoodTipout,Template!FriAMPM,AD21,Template!FriJobCode,"Server")+(SUMIFS(FriFoodTipout,Template!FriAMPM,AD21,Template!FriJobCode,"Bartender")))))</f>
        <v>0</v>
      </c>
      <c r="AE23" s="29">
        <f>ABS(SUMIFS(FriHostTipout,Template!FriAMPM,AE21,Template!FriJobCode,"&lt;&gt;Host"))</f>
        <v>0</v>
      </c>
      <c r="AF23" s="29">
        <f>ABS(SUMIFS(FriHostTipout,Template!FriAMPM,AF21,Template!FriJobCode,"&lt;&gt;Host"))</f>
        <v>0</v>
      </c>
      <c r="AG23" s="29" t="s">
        <v>36</v>
      </c>
      <c r="AN23" s="29">
        <f>SUMIFS(SunAlcTipout,Template!SunAMPM,AN21,Template!SunJobCode,"&lt;&gt;Bartender")*-1</f>
        <v>0</v>
      </c>
      <c r="AO23" s="72">
        <f>SUMIFS(SunAlcTipout,Template!SunAMPM,AO21,Template!SunJobCode,"&lt;&gt;Bartender")*-1</f>
        <v>0</v>
      </c>
      <c r="AP23" s="29">
        <f>ABS(IF(AP22=0,0,(SUMIFS(SunFoodTipout,Template!SunAMPM,AP21,Template!SunJobCode,"Server")+(SUMIFS(SunFoodTipout,Template!SunAMPM,AP21,Template!SunJobCode,"Bartender")))))</f>
        <v>0</v>
      </c>
      <c r="AQ23" s="29">
        <f>ABS(IF(AQ22=0,0,(SUMIFS(SunFoodTipout,Template!SunAMPM,AQ21,Template!SunJobCode,"Server")+(SUMIFS(SunFoodTipout,Template!SunAMPM,AQ21,Template!SunJobCode,"Bartender")))))</f>
        <v>0</v>
      </c>
      <c r="AR23" s="29">
        <f>ABS(SUMIFS(SunHostTipout,Template!SunAMPM,AR21,Template!SunJobCode,"&lt;&gt;Host"))</f>
        <v>0</v>
      </c>
      <c r="AS23" s="29">
        <f>ABS(SUMIFS(SunHostTipout,Template!SunAMPM,AS21,Template!SunJobCode,"&lt;&gt;Host"))</f>
        <v>0</v>
      </c>
      <c r="AT23" s="29" t="s">
        <v>36</v>
      </c>
    </row>
    <row r="24" spans="1:52" x14ac:dyDescent="0.2">
      <c r="A24" s="72">
        <f>SUMIFS(Template!MonTips,Template!MonAMPM,A21,Template!MonJobCode,A20)</f>
        <v>0</v>
      </c>
      <c r="B24" s="72">
        <f>SUMIFS(Template!MonTips,Template!MonAMPM,B21,Template!MonJobCode,B20)</f>
        <v>0</v>
      </c>
      <c r="C24" s="29">
        <f>SUMIFS(MonFoodTipout,Template!MonAMPM,C21,Template!MonJobCode,"Bartender")</f>
        <v>0</v>
      </c>
      <c r="D24" s="29">
        <f>SUMIFS(MonFoodTipout,Template!MonAMPM,D21,Template!MonJobCode,"Bartender")</f>
        <v>0</v>
      </c>
      <c r="E24" s="29">
        <f>SUMIFS(MonHostTipout,Template!MonJobCode,"Bartender",Template!MonAMPM,E21)</f>
        <v>0</v>
      </c>
      <c r="F24" s="29">
        <f>SUMIFS(MonHostTipout,Template!MonJobCode,"Bartender",Template!MonAMPM,F21)</f>
        <v>0</v>
      </c>
      <c r="G24" s="29" t="s">
        <v>37</v>
      </c>
      <c r="N24" s="72">
        <f>SUMIFS(Template!WedTips,Template!WedAMPM,N21,Template!WedJobCode,N20)</f>
        <v>0</v>
      </c>
      <c r="O24" s="72">
        <f>SUMIFS(Template!WedTips,Template!WedAMPM,O21,Template!WedJobCode,O20)</f>
        <v>0</v>
      </c>
      <c r="P24" s="29">
        <f>SUMIFS(WedFoodTipout,Template!WedAMPM,P21,Template!WedJobCode,"Bartender")</f>
        <v>0</v>
      </c>
      <c r="Q24" s="29">
        <f>SUMIFS(WedFoodTipout,Template!WedAMPM,Q21,Template!WedJobCode,"Bartender")</f>
        <v>0</v>
      </c>
      <c r="R24" s="29">
        <f>SUMIFS(WedHostTipout,Template!WedJobCode,"Bartender",Template!WedAMPM,R21)</f>
        <v>0</v>
      </c>
      <c r="S24" s="29">
        <f>SUMIFS(WedHostTipout,Template!WedJobCode,"Bartender",Template!WedAMPM,S21)</f>
        <v>0</v>
      </c>
      <c r="T24" s="29" t="s">
        <v>37</v>
      </c>
      <c r="AA24" s="72">
        <f>SUMIFS(Template!FriTips,Template!FriAMPM,AA21,Template!FriJobCode,AA20)</f>
        <v>0</v>
      </c>
      <c r="AB24" s="72">
        <f>SUMIFS(Template!FriTips,Template!FriAMPM,AB21,Template!FriJobCode,AB20)</f>
        <v>0</v>
      </c>
      <c r="AC24" s="29">
        <f>SUMIFS(FriFoodTipout,Template!FriAMPM,AC21,Template!FriJobCode,"Bartender")</f>
        <v>0</v>
      </c>
      <c r="AD24" s="29">
        <f>SUMIFS(FriFoodTipout,Template!FriAMPM,AD21,Template!FriJobCode,"Bartender")</f>
        <v>0</v>
      </c>
      <c r="AE24" s="29">
        <f>SUMIFS(FriHostTipout,Template!FriJobCode,"Bartender",Template!FriAMPM,AE21)</f>
        <v>0</v>
      </c>
      <c r="AF24" s="29">
        <f>SUMIFS(FriHostTipout,Template!FriJobCode,"Bartender",Template!FriAMPM,AF21)</f>
        <v>0</v>
      </c>
      <c r="AG24" s="29" t="s">
        <v>37</v>
      </c>
      <c r="AN24" s="72">
        <f>SUMIFS(Template!SunTips,Template!SunAMPM,AN21,Template!SunJobCode,AN20)</f>
        <v>0</v>
      </c>
      <c r="AO24" s="72">
        <f>SUMIFS(Template!SunTips,Template!SunAMPM,AO21,Template!SunJobCode,AO20)</f>
        <v>0</v>
      </c>
      <c r="AP24" s="29">
        <f>SUMIFS(SunFoodTipout,Template!SunAMPM,AP21,Template!SunJobCode,"Bartender")</f>
        <v>0</v>
      </c>
      <c r="AQ24" s="29">
        <f>SUMIFS(SunFoodTipout,Template!SunAMPM,AQ21,Template!SunJobCode,"Bartender")</f>
        <v>0</v>
      </c>
      <c r="AR24" s="29">
        <f>SUMIFS(SunHostTipout,Template!SunJobCode,"Bartender",Template!SunAMPM,AR21)</f>
        <v>0</v>
      </c>
      <c r="AS24" s="29">
        <f>SUMIFS(SunHostTipout,Template!SunJobCode,"Bartender",Template!SunAMPM,AS21)</f>
        <v>0</v>
      </c>
      <c r="AT24" s="29" t="s">
        <v>37</v>
      </c>
    </row>
    <row r="25" spans="1:52" x14ac:dyDescent="0.2">
      <c r="A25" s="29" t="e">
        <f>A23/A22</f>
        <v>#DIV/0!</v>
      </c>
      <c r="B25" s="51" t="e">
        <f>B23/B22</f>
        <v>#DIV/0!</v>
      </c>
      <c r="C25" s="29">
        <f>IFERROR(C23/C22,0)</f>
        <v>0</v>
      </c>
      <c r="D25" s="29">
        <f>IFERROR(D23/D22,0)</f>
        <v>0</v>
      </c>
      <c r="E25" s="29">
        <f>IFERROR(E23/E22,0)</f>
        <v>0</v>
      </c>
      <c r="F25" s="29">
        <f>IFERROR(F23/F22,0)</f>
        <v>0</v>
      </c>
      <c r="G25" s="29" t="s">
        <v>38</v>
      </c>
      <c r="N25" s="29" t="e">
        <f>N23/N22</f>
        <v>#DIV/0!</v>
      </c>
      <c r="O25" s="51" t="e">
        <f>O23/O22</f>
        <v>#DIV/0!</v>
      </c>
      <c r="P25" s="29">
        <f>IFERROR(P23/P22,0)</f>
        <v>0</v>
      </c>
      <c r="Q25" s="29">
        <f>IFERROR(Q23/Q22,0)</f>
        <v>0</v>
      </c>
      <c r="R25" s="29">
        <f>IFERROR(R23/R22,0)</f>
        <v>0</v>
      </c>
      <c r="S25" s="29">
        <f>IFERROR(S23/S22,0)</f>
        <v>0</v>
      </c>
      <c r="T25" s="29" t="s">
        <v>38</v>
      </c>
      <c r="AA25" s="29" t="e">
        <f>AA23/AA22</f>
        <v>#DIV/0!</v>
      </c>
      <c r="AB25" s="51" t="e">
        <f>AB23/AB22</f>
        <v>#DIV/0!</v>
      </c>
      <c r="AC25" s="29">
        <f>IFERROR(AC23/AC22,0)</f>
        <v>0</v>
      </c>
      <c r="AD25" s="29">
        <f>IFERROR(AD23/AD22,0)</f>
        <v>0</v>
      </c>
      <c r="AE25" s="29">
        <f>IFERROR(AE23/AE22,0)</f>
        <v>0</v>
      </c>
      <c r="AF25" s="29">
        <f>IFERROR(AF23/AF22,0)</f>
        <v>0</v>
      </c>
      <c r="AG25" s="29" t="s">
        <v>38</v>
      </c>
      <c r="AN25" s="29" t="e">
        <f>AN23/AN22</f>
        <v>#DIV/0!</v>
      </c>
      <c r="AO25" s="51" t="e">
        <f>AO23/AO22</f>
        <v>#DIV/0!</v>
      </c>
      <c r="AP25" s="29">
        <f>IFERROR(AP23/AP22,0)</f>
        <v>0</v>
      </c>
      <c r="AQ25" s="29">
        <f>IFERROR(AQ23/AQ22,0)</f>
        <v>0</v>
      </c>
      <c r="AR25" s="29">
        <f>IFERROR(AR23/AR22,0)</f>
        <v>0</v>
      </c>
      <c r="AS25" s="29">
        <f>IFERROR(AS23/AS22,0)</f>
        <v>0</v>
      </c>
      <c r="AT25" s="29" t="s">
        <v>38</v>
      </c>
    </row>
    <row r="26" spans="1:52" x14ac:dyDescent="0.2">
      <c r="A26" s="29" t="e">
        <f>A24/A22</f>
        <v>#DIV/0!</v>
      </c>
      <c r="B26" s="51" t="e">
        <f>B24/B22</f>
        <v>#DIV/0!</v>
      </c>
      <c r="C26" s="29" t="e">
        <f>C24/A22</f>
        <v>#DIV/0!</v>
      </c>
      <c r="D26" s="29" t="e">
        <f>D24/B22</f>
        <v>#DIV/0!</v>
      </c>
      <c r="E26" s="29" t="e">
        <f>E24/A22</f>
        <v>#DIV/0!</v>
      </c>
      <c r="F26" s="29" t="e">
        <f>F24/B22</f>
        <v>#DIV/0!</v>
      </c>
      <c r="G26" s="29" t="s">
        <v>39</v>
      </c>
      <c r="N26" s="29" t="e">
        <f>N24/N22</f>
        <v>#DIV/0!</v>
      </c>
      <c r="O26" s="51" t="e">
        <f>O24/O22</f>
        <v>#DIV/0!</v>
      </c>
      <c r="P26" s="29" t="e">
        <f>P24/N22</f>
        <v>#DIV/0!</v>
      </c>
      <c r="Q26" s="29" t="e">
        <f>Q24/O22</f>
        <v>#DIV/0!</v>
      </c>
      <c r="R26" s="29" t="e">
        <f>R24/N22</f>
        <v>#DIV/0!</v>
      </c>
      <c r="S26" s="29" t="e">
        <f>S24/O22</f>
        <v>#DIV/0!</v>
      </c>
      <c r="T26" s="29" t="s">
        <v>39</v>
      </c>
      <c r="AA26" s="29" t="e">
        <f>AA24/AA22</f>
        <v>#DIV/0!</v>
      </c>
      <c r="AB26" s="51" t="e">
        <f>AB24/AB22</f>
        <v>#DIV/0!</v>
      </c>
      <c r="AC26" s="29" t="e">
        <f>AC24/AA22</f>
        <v>#DIV/0!</v>
      </c>
      <c r="AD26" s="29" t="e">
        <f>AD24/AB22</f>
        <v>#DIV/0!</v>
      </c>
      <c r="AE26" s="29" t="e">
        <f>AE24/AA22</f>
        <v>#DIV/0!</v>
      </c>
      <c r="AF26" s="29" t="e">
        <f>AF24/AB22</f>
        <v>#DIV/0!</v>
      </c>
      <c r="AG26" s="29" t="s">
        <v>39</v>
      </c>
      <c r="AN26" s="29" t="e">
        <f>AN24/AN22</f>
        <v>#DIV/0!</v>
      </c>
      <c r="AO26" s="51" t="e">
        <f>AO24/AO22</f>
        <v>#DIV/0!</v>
      </c>
      <c r="AP26" s="29" t="e">
        <f>AP24/AN22</f>
        <v>#DIV/0!</v>
      </c>
      <c r="AQ26" s="29" t="e">
        <f>AQ24/AO22</f>
        <v>#DIV/0!</v>
      </c>
      <c r="AR26" s="29" t="e">
        <f>AR24/AN22</f>
        <v>#DIV/0!</v>
      </c>
      <c r="AS26" s="29" t="e">
        <f>AS24/AO22</f>
        <v>#DIV/0!</v>
      </c>
      <c r="AT26" s="29" t="s">
        <v>39</v>
      </c>
    </row>
    <row r="27" spans="1:52" ht="21" x14ac:dyDescent="0.25">
      <c r="A27" s="69">
        <f>A1+1</f>
        <v>45293</v>
      </c>
      <c r="B27" s="81" t="str">
        <f>TEXT(A27,"DDDD")</f>
        <v>Tuesday</v>
      </c>
      <c r="C27" s="82"/>
      <c r="D27" s="82"/>
      <c r="E27" s="82"/>
      <c r="F27" s="82"/>
      <c r="G27" s="82"/>
      <c r="H27" s="82"/>
      <c r="I27" s="82"/>
      <c r="J27" s="83"/>
      <c r="K27" s="25">
        <v>0.03</v>
      </c>
      <c r="L27" s="25">
        <v>0.02</v>
      </c>
      <c r="M27" s="25">
        <v>0.01</v>
      </c>
      <c r="N27" s="70">
        <f>A1+3</f>
        <v>45295</v>
      </c>
      <c r="O27" s="84" t="str">
        <f>TEXT(N27,"DDDD")</f>
        <v>Thursday</v>
      </c>
      <c r="P27" s="85"/>
      <c r="Q27" s="85"/>
      <c r="R27" s="85"/>
      <c r="S27" s="85"/>
      <c r="T27" s="85"/>
      <c r="U27" s="85"/>
      <c r="V27" s="85"/>
      <c r="W27" s="86"/>
      <c r="X27" s="25">
        <v>0.03</v>
      </c>
      <c r="Y27" s="25">
        <v>0.02</v>
      </c>
      <c r="Z27" s="25">
        <v>0.01</v>
      </c>
      <c r="AA27" s="71">
        <f>A1+5</f>
        <v>45297</v>
      </c>
      <c r="AB27" s="75" t="str">
        <f>TEXT(AA27,"DDDD")</f>
        <v>Saturday</v>
      </c>
      <c r="AC27" s="76"/>
      <c r="AD27" s="76"/>
      <c r="AE27" s="76"/>
      <c r="AF27" s="76"/>
      <c r="AG27" s="76"/>
      <c r="AH27" s="76"/>
      <c r="AI27" s="76"/>
      <c r="AJ27" s="77"/>
      <c r="AK27" s="25">
        <v>0.03</v>
      </c>
      <c r="AL27" s="25">
        <v>0.02</v>
      </c>
      <c r="AM27" s="25">
        <v>0.01</v>
      </c>
      <c r="AN27" s="88" t="s">
        <v>40</v>
      </c>
      <c r="AO27" s="88"/>
      <c r="AP27" s="88"/>
      <c r="AQ27" s="88"/>
      <c r="AR27" s="88"/>
      <c r="AS27" s="88"/>
      <c r="AT27" s="88"/>
      <c r="AU27" s="88"/>
    </row>
    <row r="28" spans="1:52" ht="19" x14ac:dyDescent="0.25">
      <c r="A28" s="33" t="s">
        <v>0</v>
      </c>
      <c r="B28" s="34" t="s">
        <v>1</v>
      </c>
      <c r="C28" s="33" t="s">
        <v>2</v>
      </c>
      <c r="D28" s="33" t="s">
        <v>3</v>
      </c>
      <c r="E28" s="33" t="s">
        <v>4</v>
      </c>
      <c r="F28" s="33" t="s">
        <v>5</v>
      </c>
      <c r="G28" s="35" t="s">
        <v>6</v>
      </c>
      <c r="H28" s="33" t="s">
        <v>7</v>
      </c>
      <c r="I28" s="33" t="s">
        <v>8</v>
      </c>
      <c r="J28" s="33" t="s">
        <v>9</v>
      </c>
      <c r="K28" s="29" t="s">
        <v>10</v>
      </c>
      <c r="L28" s="29" t="s">
        <v>11</v>
      </c>
      <c r="M28" s="29" t="s">
        <v>12</v>
      </c>
      <c r="N28" s="39" t="s">
        <v>0</v>
      </c>
      <c r="O28" s="40" t="s">
        <v>1</v>
      </c>
      <c r="P28" s="39" t="s">
        <v>2</v>
      </c>
      <c r="Q28" s="39" t="s">
        <v>3</v>
      </c>
      <c r="R28" s="39" t="s">
        <v>4</v>
      </c>
      <c r="S28" s="39" t="s">
        <v>5</v>
      </c>
      <c r="T28" s="41" t="s">
        <v>6</v>
      </c>
      <c r="U28" s="39" t="s">
        <v>7</v>
      </c>
      <c r="V28" s="39" t="s">
        <v>8</v>
      </c>
      <c r="W28" s="39" t="s">
        <v>9</v>
      </c>
      <c r="X28" s="29" t="s">
        <v>10</v>
      </c>
      <c r="Y28" s="29" t="s">
        <v>11</v>
      </c>
      <c r="Z28" s="29" t="s">
        <v>12</v>
      </c>
      <c r="AA28" s="26" t="s">
        <v>0</v>
      </c>
      <c r="AB28" s="27" t="s">
        <v>1</v>
      </c>
      <c r="AC28" s="26" t="s">
        <v>2</v>
      </c>
      <c r="AD28" s="26" t="s">
        <v>3</v>
      </c>
      <c r="AE28" s="26" t="s">
        <v>4</v>
      </c>
      <c r="AF28" s="26" t="s">
        <v>5</v>
      </c>
      <c r="AG28" s="28" t="s">
        <v>6</v>
      </c>
      <c r="AH28" s="26" t="s">
        <v>7</v>
      </c>
      <c r="AI28" s="26" t="s">
        <v>8</v>
      </c>
      <c r="AJ28" s="26" t="s">
        <v>9</v>
      </c>
      <c r="AK28" s="29" t="s">
        <v>10</v>
      </c>
      <c r="AL28" s="29" t="s">
        <v>11</v>
      </c>
      <c r="AM28" s="29" t="s">
        <v>12</v>
      </c>
      <c r="AN28" s="44" t="s">
        <v>0</v>
      </c>
      <c r="AO28" s="43" t="s">
        <v>1</v>
      </c>
      <c r="AP28" s="44" t="s">
        <v>41</v>
      </c>
      <c r="AQ28" s="44" t="s">
        <v>42</v>
      </c>
      <c r="AR28" s="44" t="s">
        <v>3</v>
      </c>
      <c r="AS28" s="44" t="s">
        <v>4</v>
      </c>
      <c r="AT28" s="44" t="s">
        <v>5</v>
      </c>
      <c r="AU28" s="44" t="s">
        <v>43</v>
      </c>
    </row>
    <row r="29" spans="1:52" ht="16" x14ac:dyDescent="0.2">
      <c r="A29" s="59"/>
      <c r="B29" s="60"/>
      <c r="C29" s="59"/>
      <c r="D29" s="59"/>
      <c r="E29" s="59"/>
      <c r="F29" s="37">
        <f>D29+E29</f>
        <v>0</v>
      </c>
      <c r="G29" s="59"/>
      <c r="H29" s="59"/>
      <c r="I29" s="37">
        <f t="shared" ref="I29" si="208">IF(H29="Bartender",(HLOOKUP(G29,TuesFoodTable,6)*B29)+(HLOOKUP(G29,TuesHostTable,6)*B29)+K29,SUM(K29,L29,M29))</f>
        <v>0</v>
      </c>
      <c r="J29" s="37">
        <f t="shared" ref="J29" si="209">IFERROR(IF(H29="Bartender",(HLOOKUP(G29,TuesBarTable,6)*B29)+I29,C29+I29),"")</f>
        <v>0</v>
      </c>
      <c r="K29" s="29">
        <f t="shared" ref="K29" si="210">IF(H29="Server",-E29*AlcoholTipPercentage,0)+IF(H29="Bartender",HLOOKUP(G29,TuesBarTable,5)*B29)</f>
        <v>0</v>
      </c>
      <c r="L29" s="29" t="str" cm="1">
        <f t="array" ref="L29">IFERROR(_xlfn.IFS(HLOOKUP(G29,TuesFoodTable,2)=0,0,OR(H29="Server",H29="Bartender"),-D29*FoodTipPercentage,OR(H29="Expo",H29="Food Runner"),HLOOKUP(G29,TuesFoodTable,5)*B29,H29="Host",0),"")</f>
        <v/>
      </c>
      <c r="M29" s="29" t="str" cm="1">
        <f t="array" ref="M29">IFERROR(_xlfn.IFS(HLOOKUP(G29,TuesHostTable,2)=0,0,OR(H29="Server",H29="Bartender"),-F29*HostTipPercentage,H29="Host",HLOOKUP(G29,TuesHostTable,5)*B29,OR(H29="Expo",H29="Food Runner"),0),"")</f>
        <v/>
      </c>
      <c r="N29" s="61"/>
      <c r="O29" s="62"/>
      <c r="P29" s="61"/>
      <c r="Q29" s="61"/>
      <c r="R29" s="61"/>
      <c r="S29" s="42">
        <f>Q29+R29</f>
        <v>0</v>
      </c>
      <c r="T29" s="61"/>
      <c r="U29" s="61"/>
      <c r="V29" s="42">
        <f t="shared" ref="V29" si="211">IF(U29="Bartender",(HLOOKUP(T29,ThursFoodTable,6)*O29)+(HLOOKUP(T29,ThursHostTable,6)*O29)+X29,SUM(X29,Y29,Z29))</f>
        <v>0</v>
      </c>
      <c r="W29" s="42">
        <f t="shared" ref="W29" si="212">IFERROR(IF(U29="Bartender",(HLOOKUP(T29,ThursBarTable,6)*O29)+V29,P29+V29),"")</f>
        <v>0</v>
      </c>
      <c r="X29" s="29">
        <f t="shared" ref="X29" si="213">IF(U29="Server",-R29*AlcoholTipPercentage,0)+IF(U29="Bartender",HLOOKUP(T29,ThursBarTable,5)*O29)</f>
        <v>0</v>
      </c>
      <c r="Y29" s="29" t="str" cm="1">
        <f t="array" ref="Y29">IFERROR(_xlfn.IFS(HLOOKUP(T29,ThursFoodTable,2)=0,0,OR(U29="Server",U29="Bartender"),-Q29*FoodTipPercentage,OR(U29="Expo",U29="Food Runner"),HLOOKUP(T29,ThursFoodTable,5)*O29,U29="Host",0),"")</f>
        <v/>
      </c>
      <c r="Z29" s="29" t="str" cm="1">
        <f t="array" ref="Z29">IFERROR(_xlfn.IFS(HLOOKUP(T29,ThursHostTable,2)=0,0,OR(U29="Server",U29="Bartender"),-S29*HostTipPercentage,U29="Host",HLOOKUP(T29,ThursHostTable,5)*O29,OR(U29="Expo",U29="Food Runner"),0),"")</f>
        <v/>
      </c>
      <c r="AA29" s="55"/>
      <c r="AB29" s="56"/>
      <c r="AC29" s="55"/>
      <c r="AD29" s="55"/>
      <c r="AE29" s="55"/>
      <c r="AF29" s="38">
        <f>AD29+AE29</f>
        <v>0</v>
      </c>
      <c r="AG29" s="55"/>
      <c r="AH29" s="55"/>
      <c r="AI29" s="38">
        <f t="shared" ref="AI29" si="214">IF(AH29="Bartender",(HLOOKUP(AG29,SatFoodTable,6)*AB29)+(HLOOKUP(AG29,SatHostTable,6)*AB29)+AK29,SUM(AK29,AL29,AM29))</f>
        <v>0</v>
      </c>
      <c r="AJ29" s="38">
        <f t="shared" ref="AJ29" si="215">IFERROR(IF(AH29="Bartender",(HLOOKUP(AG29,SatBarTable,6)*AB29)+AI29,AC29+AI29),"")</f>
        <v>0</v>
      </c>
      <c r="AK29" s="29">
        <f t="shared" ref="AK29" si="216">IF(AH29="Server",-AE29*AlcoholTipPercentage,0)+IF(AH29="Bartender",HLOOKUP(AG29,SatBarTable,5)*AB29)</f>
        <v>0</v>
      </c>
      <c r="AL29" s="29" t="str" cm="1">
        <f t="array" ref="AL29">IFERROR(_xlfn.IFS(HLOOKUP(AG29,SatFoodTable,2)=0,0,OR(AH29="Server",AH29="Bartender"),-AD29*FoodTipPercentage,OR(AH29="Expo",AH29="Food Runner"),HLOOKUP(AG29,SatFoodTable,5)*AB29,AH29="Host",0),"")</f>
        <v/>
      </c>
      <c r="AM29" s="29" t="str" cm="1">
        <f t="array" ref="AM29">IFERROR(_xlfn.IFS(HLOOKUP(AG29,SatHostTable,2)=0,0,OR(AH29="Server",AH29="Bartender"),-AF29*HostTipPercentage,AH29="Host",HLOOKUP(AG29,SatHostTable,5)*AB29,OR(AH29="Expo",AH29="Food Runner"),0),"")</f>
        <v/>
      </c>
      <c r="AN29" s="63" t="s">
        <v>57</v>
      </c>
      <c r="AO29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29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29" s="29">
        <f>IFERROR(Table42478910111213141821232527232527[[#This Row],[Weekly Tips]]/Table42478910111213141821232527232527[[#This Row],[Hours]],0)</f>
        <v>0</v>
      </c>
      <c r="AR29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29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29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  <c r="AU29" s="29" t="s">
        <v>18</v>
      </c>
    </row>
    <row r="30" spans="1:52" ht="16" x14ac:dyDescent="0.2">
      <c r="A30" s="59"/>
      <c r="B30" s="60"/>
      <c r="C30" s="59"/>
      <c r="D30" s="59"/>
      <c r="E30" s="59"/>
      <c r="F30" s="37">
        <f t="shared" ref="F30:F45" si="217">E30+D30</f>
        <v>0</v>
      </c>
      <c r="G30" s="59"/>
      <c r="H30" s="59"/>
      <c r="I30" s="37">
        <f t="shared" ref="I30" si="218">IF(H30="Bartender",(HLOOKUP(G30,TuesFoodTable,6)*B30)+(HLOOKUP(G30,TuesHostTable,6)*B30)+K30,SUM(K30,L30,M30))</f>
        <v>0</v>
      </c>
      <c r="J30" s="37">
        <f t="shared" ref="J30" si="219">IFERROR(IF(H30="Bartender",(HLOOKUP(G30,TuesBarTable,6)*B30)+I30,C30+I30),"")</f>
        <v>0</v>
      </c>
      <c r="K30" s="29">
        <f t="shared" ref="K30" si="220">IF(H30="Server",-E30*AlcoholTipPercentage,0)+IF(H30="Bartender",HLOOKUP(G30,TuesBarTable,5)*B30)</f>
        <v>0</v>
      </c>
      <c r="L30" s="29" t="str" cm="1">
        <f t="array" ref="L30">IFERROR(_xlfn.IFS(HLOOKUP(G30,TuesFoodTable,2)=0,0,OR(H30="Server",H30="Bartender"),-D30*FoodTipPercentage,OR(H30="Expo",H30="Food Runner"),HLOOKUP(G30,TuesFoodTable,5)*B30,H30="Host",0),"")</f>
        <v/>
      </c>
      <c r="M30" s="29" t="str" cm="1">
        <f t="array" ref="M30">IFERROR(_xlfn.IFS(HLOOKUP(G30,TuesHostTable,2)=0,0,OR(H30="Server",H30="Bartender"),-F30*HostTipPercentage,H30="Host",HLOOKUP(G30,TuesHostTable,5)*B30,OR(H30="Expo",H30="Food Runner"),0),"")</f>
        <v/>
      </c>
      <c r="N30" s="61"/>
      <c r="O30" s="62"/>
      <c r="P30" s="61"/>
      <c r="Q30" s="61"/>
      <c r="R30" s="61"/>
      <c r="S30" s="42">
        <f t="shared" ref="S30:S45" si="221">R30+Q30</f>
        <v>0</v>
      </c>
      <c r="T30" s="61"/>
      <c r="U30" s="61"/>
      <c r="V30" s="42">
        <f t="shared" ref="V30" si="222">IF(U30="Bartender",(HLOOKUP(T30,ThursFoodTable,6)*O30)+(HLOOKUP(T30,ThursHostTable,6)*O30)+X30,SUM(X30,Y30,Z30))</f>
        <v>0</v>
      </c>
      <c r="W30" s="42">
        <f t="shared" ref="W30" si="223">IFERROR(IF(U30="Bartender",(HLOOKUP(T30,ThursBarTable,6)*O30)+V30,P30+V30),"")</f>
        <v>0</v>
      </c>
      <c r="X30" s="29">
        <f t="shared" ref="X30" si="224">IF(U30="Server",-R30*AlcoholTipPercentage,0)+IF(U30="Bartender",HLOOKUP(T30,ThursBarTable,5)*O30)</f>
        <v>0</v>
      </c>
      <c r="Y30" s="29" t="str" cm="1">
        <f t="array" ref="Y30">IFERROR(_xlfn.IFS(HLOOKUP(T30,ThursFoodTable,2)=0,0,OR(U30="Server",U30="Bartender"),-Q30*FoodTipPercentage,OR(U30="Expo",U30="Food Runner"),HLOOKUP(T30,ThursFoodTable,5)*O30,U30="Host",0),"")</f>
        <v/>
      </c>
      <c r="Z30" s="29" t="str" cm="1">
        <f t="array" ref="Z30">IFERROR(_xlfn.IFS(HLOOKUP(T30,ThursHostTable,2)=0,0,OR(U30="Server",U30="Bartender"),-S30*HostTipPercentage,U30="Host",HLOOKUP(T30,ThursHostTable,5)*O30,OR(U30="Expo",U30="Food Runner"),0),"")</f>
        <v/>
      </c>
      <c r="AA30" s="55"/>
      <c r="AB30" s="56"/>
      <c r="AC30" s="55"/>
      <c r="AD30" s="55"/>
      <c r="AE30" s="55"/>
      <c r="AF30" s="38">
        <f t="shared" ref="AF30:AF45" si="225">AE30+AD30</f>
        <v>0</v>
      </c>
      <c r="AG30" s="55"/>
      <c r="AH30" s="55"/>
      <c r="AI30" s="38">
        <f t="shared" ref="AI30" si="226">IF(AH30="Bartender",(HLOOKUP(AG30,SatFoodTable,6)*AB30)+(HLOOKUP(AG30,SatHostTable,6)*AB30)+AK30,SUM(AK30,AL30,AM30))</f>
        <v>0</v>
      </c>
      <c r="AJ30" s="38">
        <f t="shared" ref="AJ30" si="227">IFERROR(IF(AH30="Bartender",(HLOOKUP(AG30,SatBarTable,6)*AB30)+AI30,AC30+AI30),"")</f>
        <v>0</v>
      </c>
      <c r="AK30" s="29">
        <f t="shared" ref="AK30" si="228">IF(AH30="Server",-AE30*AlcoholTipPercentage,0)+IF(AH30="Bartender",HLOOKUP(AG30,SatBarTable,5)*AB30)</f>
        <v>0</v>
      </c>
      <c r="AL30" s="29" t="str" cm="1">
        <f t="array" ref="AL30">IFERROR(_xlfn.IFS(HLOOKUP(AG30,SatFoodTable,2)=0,0,OR(AH30="Server",AH30="Bartender"),-AD30*FoodTipPercentage,OR(AH30="Expo",AH30="Food Runner"),HLOOKUP(AG30,SatFoodTable,5)*AB30,AH30="Host",0),"")</f>
        <v/>
      </c>
      <c r="AM30" s="29" t="str" cm="1">
        <f t="array" ref="AM30">IFERROR(_xlfn.IFS(HLOOKUP(AG30,SatHostTable,2)=0,0,OR(AH30="Server",AH30="Bartender"),-AF30*HostTipPercentage,AH30="Host",HLOOKUP(AG30,SatHostTable,5)*AB30,OR(AH30="Expo",AH30="Food Runner"),0),"")</f>
        <v/>
      </c>
      <c r="AN30" s="63" t="s">
        <v>59</v>
      </c>
      <c r="AO30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0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0" s="29">
        <f>IFERROR(Table42478910111213141821232527232527[[#This Row],[Weekly Tips]]/Table42478910111213141821232527232527[[#This Row],[Hours]],0)</f>
        <v>0</v>
      </c>
      <c r="AR30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0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0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  <c r="AU30" s="29" t="s">
        <v>26</v>
      </c>
    </row>
    <row r="31" spans="1:52" ht="16" x14ac:dyDescent="0.2">
      <c r="A31" s="59"/>
      <c r="B31" s="60"/>
      <c r="C31" s="59"/>
      <c r="D31" s="59"/>
      <c r="E31" s="59"/>
      <c r="F31" s="37">
        <f t="shared" si="217"/>
        <v>0</v>
      </c>
      <c r="G31" s="59"/>
      <c r="H31" s="59"/>
      <c r="I31" s="37">
        <f t="shared" ref="I31" si="229">IF(H31="Bartender",(HLOOKUP(G31,TuesFoodTable,6)*B31)+(HLOOKUP(G31,TuesHostTable,6)*B31)+K31,SUM(K31,L31,M31))</f>
        <v>0</v>
      </c>
      <c r="J31" s="37">
        <f t="shared" ref="J31" si="230">IFERROR(IF(H31="Bartender",(HLOOKUP(G31,TuesBarTable,6)*B31)+I31,C31+I31),"")</f>
        <v>0</v>
      </c>
      <c r="K31" s="29">
        <f t="shared" ref="K31" si="231">IF(H31="Server",-E31*AlcoholTipPercentage,0)+IF(H31="Bartender",HLOOKUP(G31,TuesBarTable,5)*B31)</f>
        <v>0</v>
      </c>
      <c r="L31" s="29" t="str" cm="1">
        <f t="array" ref="L31">IFERROR(_xlfn.IFS(HLOOKUP(G31,TuesFoodTable,2)=0,0,OR(H31="Server",H31="Bartender"),-D31*FoodTipPercentage,OR(H31="Expo",H31="Food Runner"),HLOOKUP(G31,TuesFoodTable,5)*B31,H31="Host",0),"")</f>
        <v/>
      </c>
      <c r="M31" s="29" t="str" cm="1">
        <f t="array" ref="M31">IFERROR(_xlfn.IFS(HLOOKUP(G31,TuesHostTable,2)=0,0,OR(H31="Server",H31="Bartender"),-F31*HostTipPercentage,H31="Host",HLOOKUP(G31,TuesHostTable,5)*B31,OR(H31="Expo",H31="Food Runner"),0),"")</f>
        <v/>
      </c>
      <c r="N31" s="61"/>
      <c r="O31" s="62"/>
      <c r="P31" s="61"/>
      <c r="Q31" s="61"/>
      <c r="R31" s="61"/>
      <c r="S31" s="42">
        <f t="shared" si="221"/>
        <v>0</v>
      </c>
      <c r="T31" s="61"/>
      <c r="U31" s="61"/>
      <c r="V31" s="42">
        <f t="shared" ref="V31" si="232">IF(U31="Bartender",(HLOOKUP(T31,ThursFoodTable,6)*O31)+(HLOOKUP(T31,ThursHostTable,6)*O31)+X31,SUM(X31,Y31,Z31))</f>
        <v>0</v>
      </c>
      <c r="W31" s="42">
        <f t="shared" ref="W31" si="233">IFERROR(IF(U31="Bartender",(HLOOKUP(T31,ThursBarTable,6)*O31)+V31,P31+V31),"")</f>
        <v>0</v>
      </c>
      <c r="X31" s="29">
        <f t="shared" ref="X31" si="234">IF(U31="Server",-R31*AlcoholTipPercentage,0)+IF(U31="Bartender",HLOOKUP(T31,ThursBarTable,5)*O31)</f>
        <v>0</v>
      </c>
      <c r="Y31" s="29" t="str" cm="1">
        <f t="array" ref="Y31">IFERROR(_xlfn.IFS(HLOOKUP(T31,ThursFoodTable,2)=0,0,OR(U31="Server",U31="Bartender"),-Q31*FoodTipPercentage,OR(U31="Expo",U31="Food Runner"),HLOOKUP(T31,ThursFoodTable,5)*O31,U31="Host",0),"")</f>
        <v/>
      </c>
      <c r="Z31" s="29" t="str" cm="1">
        <f t="array" ref="Z31">IFERROR(_xlfn.IFS(HLOOKUP(T31,ThursHostTable,2)=0,0,OR(U31="Server",U31="Bartender"),-S31*HostTipPercentage,U31="Host",HLOOKUP(T31,ThursHostTable,5)*O31,OR(U31="Expo",U31="Food Runner"),0),"")</f>
        <v/>
      </c>
      <c r="AA31" s="55"/>
      <c r="AB31" s="56"/>
      <c r="AC31" s="55"/>
      <c r="AD31" s="55"/>
      <c r="AE31" s="55"/>
      <c r="AF31" s="38">
        <f t="shared" si="225"/>
        <v>0</v>
      </c>
      <c r="AG31" s="55"/>
      <c r="AH31" s="55"/>
      <c r="AI31" s="38">
        <f t="shared" ref="AI31" si="235">IF(AH31="Bartender",(HLOOKUP(AG31,SatFoodTable,6)*AB31)+(HLOOKUP(AG31,SatHostTable,6)*AB31)+AK31,SUM(AK31,AL31,AM31))</f>
        <v>0</v>
      </c>
      <c r="AJ31" s="38">
        <f t="shared" ref="AJ31" si="236">IFERROR(IF(AH31="Bartender",(HLOOKUP(AG31,SatBarTable,6)*AB31)+AI31,AC31+AI31),"")</f>
        <v>0</v>
      </c>
      <c r="AK31" s="29">
        <f t="shared" ref="AK31" si="237">IF(AH31="Server",-AE31*AlcoholTipPercentage,0)+IF(AH31="Bartender",HLOOKUP(AG31,SatBarTable,5)*AB31)</f>
        <v>0</v>
      </c>
      <c r="AL31" s="29" t="str" cm="1">
        <f t="array" ref="AL31">IFERROR(_xlfn.IFS(HLOOKUP(AG31,SatFoodTable,2)=0,0,OR(AH31="Server",AH31="Bartender"),-AD31*FoodTipPercentage,OR(AH31="Expo",AH31="Food Runner"),HLOOKUP(AG31,SatFoodTable,5)*AB31,AH31="Host",0),"")</f>
        <v/>
      </c>
      <c r="AM31" s="29" t="str" cm="1">
        <f t="array" ref="AM31">IFERROR(_xlfn.IFS(HLOOKUP(AG31,SatHostTable,2)=0,0,OR(AH31="Server",AH31="Bartender"),-AF31*HostTipPercentage,AH31="Host",HLOOKUP(AG31,SatHostTable,5)*AB31,OR(AH31="Expo",AH31="Food Runner"),0),"")</f>
        <v/>
      </c>
      <c r="AN31" s="63" t="s">
        <v>63</v>
      </c>
      <c r="AO31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1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1" s="29">
        <f>IFERROR(Table42478910111213141821232527232527[[#This Row],[Weekly Tips]]/Table42478910111213141821232527232527[[#This Row],[Hours]],0)</f>
        <v>0</v>
      </c>
      <c r="AR31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1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1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  <c r="AU31" s="29" t="s">
        <v>30</v>
      </c>
    </row>
    <row r="32" spans="1:52" ht="16" x14ac:dyDescent="0.2">
      <c r="A32" s="59"/>
      <c r="B32" s="60"/>
      <c r="C32" s="59"/>
      <c r="D32" s="59"/>
      <c r="E32" s="59"/>
      <c r="F32" s="37">
        <f t="shared" si="217"/>
        <v>0</v>
      </c>
      <c r="G32" s="59"/>
      <c r="H32" s="59"/>
      <c r="I32" s="37">
        <f t="shared" ref="I32" si="238">IF(H32="Bartender",(HLOOKUP(G32,TuesFoodTable,6)*B32)+(HLOOKUP(G32,TuesHostTable,6)*B32)+K32,SUM(K32,L32,M32))</f>
        <v>0</v>
      </c>
      <c r="J32" s="37">
        <f t="shared" ref="J32" si="239">IFERROR(IF(H32="Bartender",(HLOOKUP(G32,TuesBarTable,6)*B32)+I32,C32+I32),"")</f>
        <v>0</v>
      </c>
      <c r="K32" s="29">
        <f t="shared" ref="K32" si="240">IF(H32="Server",-E32*AlcoholTipPercentage,0)+IF(H32="Bartender",HLOOKUP(G32,TuesBarTable,5)*B32)</f>
        <v>0</v>
      </c>
      <c r="L32" s="29" t="str" cm="1">
        <f t="array" ref="L32">IFERROR(_xlfn.IFS(HLOOKUP(G32,TuesFoodTable,2)=0,0,OR(H32="Server",H32="Bartender"),-D32*FoodTipPercentage,OR(H32="Expo",H32="Food Runner"),HLOOKUP(G32,TuesFoodTable,5)*B32,H32="Host",0),"")</f>
        <v/>
      </c>
      <c r="M32" s="29" t="str" cm="1">
        <f t="array" ref="M32">IFERROR(_xlfn.IFS(HLOOKUP(G32,TuesHostTable,2)=0,0,OR(H32="Server",H32="Bartender"),-F32*HostTipPercentage,H32="Host",HLOOKUP(G32,TuesHostTable,5)*B32,OR(H32="Expo",H32="Food Runner"),0),"")</f>
        <v/>
      </c>
      <c r="N32" s="61"/>
      <c r="O32" s="62"/>
      <c r="P32" s="61"/>
      <c r="Q32" s="61"/>
      <c r="R32" s="61"/>
      <c r="S32" s="42">
        <f t="shared" si="221"/>
        <v>0</v>
      </c>
      <c r="T32" s="61"/>
      <c r="U32" s="61"/>
      <c r="V32" s="42">
        <f t="shared" ref="V32" si="241">IF(U32="Bartender",(HLOOKUP(T32,ThursFoodTable,6)*O32)+(HLOOKUP(T32,ThursHostTable,6)*O32)+X32,SUM(X32,Y32,Z32))</f>
        <v>0</v>
      </c>
      <c r="W32" s="42">
        <f t="shared" ref="W32" si="242">IFERROR(IF(U32="Bartender",(HLOOKUP(T32,ThursBarTable,6)*O32)+V32,P32+V32),"")</f>
        <v>0</v>
      </c>
      <c r="X32" s="29">
        <f t="shared" ref="X32" si="243">IF(U32="Server",-R32*AlcoholTipPercentage,0)+IF(U32="Bartender",HLOOKUP(T32,ThursBarTable,5)*O32)</f>
        <v>0</v>
      </c>
      <c r="Y32" s="29" t="str" cm="1">
        <f t="array" ref="Y32">IFERROR(_xlfn.IFS(HLOOKUP(T32,ThursFoodTable,2)=0,0,OR(U32="Server",U32="Bartender"),-Q32*FoodTipPercentage,OR(U32="Expo",U32="Food Runner"),HLOOKUP(T32,ThursFoodTable,5)*O32,U32="Host",0),"")</f>
        <v/>
      </c>
      <c r="Z32" s="29" t="str" cm="1">
        <f t="array" ref="Z32">IFERROR(_xlfn.IFS(HLOOKUP(T32,ThursHostTable,2)=0,0,OR(U32="Server",U32="Bartender"),-S32*HostTipPercentage,U32="Host",HLOOKUP(T32,ThursHostTable,5)*O32,OR(U32="Expo",U32="Food Runner"),0),"")</f>
        <v/>
      </c>
      <c r="AA32" s="55"/>
      <c r="AB32" s="56"/>
      <c r="AC32" s="55"/>
      <c r="AD32" s="55"/>
      <c r="AE32" s="55"/>
      <c r="AF32" s="38">
        <f t="shared" si="225"/>
        <v>0</v>
      </c>
      <c r="AG32" s="55"/>
      <c r="AH32" s="55"/>
      <c r="AI32" s="38">
        <f t="shared" ref="AI32" si="244">IF(AH32="Bartender",(HLOOKUP(AG32,SatFoodTable,6)*AB32)+(HLOOKUP(AG32,SatHostTable,6)*AB32)+AK32,SUM(AK32,AL32,AM32))</f>
        <v>0</v>
      </c>
      <c r="AJ32" s="38">
        <f t="shared" ref="AJ32" si="245">IFERROR(IF(AH32="Bartender",(HLOOKUP(AG32,SatBarTable,6)*AB32)+AI32,AC32+AI32),"")</f>
        <v>0</v>
      </c>
      <c r="AK32" s="29">
        <f t="shared" ref="AK32" si="246">IF(AH32="Server",-AE32*AlcoholTipPercentage,0)+IF(AH32="Bartender",HLOOKUP(AG32,SatBarTable,5)*AB32)</f>
        <v>0</v>
      </c>
      <c r="AL32" s="29" t="str" cm="1">
        <f t="array" ref="AL32">IFERROR(_xlfn.IFS(HLOOKUP(AG32,SatFoodTable,2)=0,0,OR(AH32="Server",AH32="Bartender"),-AD32*FoodTipPercentage,OR(AH32="Expo",AH32="Food Runner"),HLOOKUP(AG32,SatFoodTable,5)*AB32,AH32="Host",0),"")</f>
        <v/>
      </c>
      <c r="AM32" s="29" t="str" cm="1">
        <f t="array" ref="AM32">IFERROR(_xlfn.IFS(HLOOKUP(AG32,SatHostTable,2)=0,0,OR(AH32="Server",AH32="Bartender"),-AF32*HostTipPercentage,AH32="Host",HLOOKUP(AG32,SatHostTable,5)*AB32,OR(AH32="Expo",AH32="Food Runner"),0),"")</f>
        <v/>
      </c>
      <c r="AN32" s="63" t="s">
        <v>61</v>
      </c>
      <c r="AO32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2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2" s="29">
        <f>IFERROR(Table42478910111213141821232527232527[[#This Row],[Weekly Tips]]/Table42478910111213141821232527232527[[#This Row],[Hours]],0)</f>
        <v>0</v>
      </c>
      <c r="AR32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2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2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3" spans="1:47" ht="16" x14ac:dyDescent="0.2">
      <c r="A33" s="59"/>
      <c r="B33" s="60"/>
      <c r="C33" s="59"/>
      <c r="D33" s="59"/>
      <c r="E33" s="59"/>
      <c r="F33" s="37">
        <f t="shared" si="217"/>
        <v>0</v>
      </c>
      <c r="G33" s="59"/>
      <c r="H33" s="59"/>
      <c r="I33" s="37">
        <f t="shared" ref="I33" si="247">IF(H33="Bartender",(HLOOKUP(G33,TuesFoodTable,6)*B33)+(HLOOKUP(G33,TuesHostTable,6)*B33)+K33,SUM(K33,L33,M33))</f>
        <v>0</v>
      </c>
      <c r="J33" s="37">
        <f t="shared" ref="J33" si="248">IFERROR(IF(H33="Bartender",(HLOOKUP(G33,TuesBarTable,6)*B33)+I33,C33+I33),"")</f>
        <v>0</v>
      </c>
      <c r="K33" s="29">
        <f t="shared" ref="K33" si="249">IF(H33="Server",-E33*AlcoholTipPercentage,0)+IF(H33="Bartender",HLOOKUP(G33,TuesBarTable,5)*B33)</f>
        <v>0</v>
      </c>
      <c r="L33" s="29" t="str" cm="1">
        <f t="array" ref="L33">IFERROR(_xlfn.IFS(HLOOKUP(G33,TuesFoodTable,2)=0,0,OR(H33="Server",H33="Bartender"),-D33*FoodTipPercentage,OR(H33="Expo",H33="Food Runner"),HLOOKUP(G33,TuesFoodTable,5)*B33,H33="Host",0),"")</f>
        <v/>
      </c>
      <c r="M33" s="29" t="str" cm="1">
        <f t="array" ref="M33">IFERROR(_xlfn.IFS(HLOOKUP(G33,TuesHostTable,2)=0,0,OR(H33="Server",H33="Bartender"),-F33*HostTipPercentage,H33="Host",HLOOKUP(G33,TuesHostTable,5)*B33,OR(H33="Expo",H33="Food Runner"),0),"")</f>
        <v/>
      </c>
      <c r="N33" s="61"/>
      <c r="O33" s="62"/>
      <c r="P33" s="61"/>
      <c r="Q33" s="61"/>
      <c r="R33" s="61"/>
      <c r="S33" s="42">
        <f t="shared" si="221"/>
        <v>0</v>
      </c>
      <c r="T33" s="61"/>
      <c r="U33" s="61"/>
      <c r="V33" s="42">
        <f t="shared" ref="V33" si="250">IF(U33="Bartender",(HLOOKUP(T33,ThursFoodTable,6)*O33)+(HLOOKUP(T33,ThursHostTable,6)*O33)+X33,SUM(X33,Y33,Z33))</f>
        <v>0</v>
      </c>
      <c r="W33" s="42">
        <f t="shared" ref="W33" si="251">IFERROR(IF(U33="Bartender",(HLOOKUP(T33,ThursBarTable,6)*O33)+V33,P33+V33),"")</f>
        <v>0</v>
      </c>
      <c r="X33" s="29">
        <f t="shared" ref="X33" si="252">IF(U33="Server",-R33*AlcoholTipPercentage,0)+IF(U33="Bartender",HLOOKUP(T33,ThursBarTable,5)*O33)</f>
        <v>0</v>
      </c>
      <c r="Y33" s="29" t="str" cm="1">
        <f t="array" ref="Y33">IFERROR(_xlfn.IFS(HLOOKUP(T33,ThursFoodTable,2)=0,0,OR(U33="Server",U33="Bartender"),-Q33*FoodTipPercentage,OR(U33="Expo",U33="Food Runner"),HLOOKUP(T33,ThursFoodTable,5)*O33,U33="Host",0),"")</f>
        <v/>
      </c>
      <c r="Z33" s="29" t="str" cm="1">
        <f t="array" ref="Z33">IFERROR(_xlfn.IFS(HLOOKUP(T33,ThursHostTable,2)=0,0,OR(U33="Server",U33="Bartender"),-S33*HostTipPercentage,U33="Host",HLOOKUP(T33,ThursHostTable,5)*O33,OR(U33="Expo",U33="Food Runner"),0),"")</f>
        <v/>
      </c>
      <c r="AA33" s="55"/>
      <c r="AB33" s="56"/>
      <c r="AC33" s="55"/>
      <c r="AD33" s="55"/>
      <c r="AE33" s="55"/>
      <c r="AF33" s="38">
        <f t="shared" si="225"/>
        <v>0</v>
      </c>
      <c r="AG33" s="55"/>
      <c r="AH33" s="55"/>
      <c r="AI33" s="38">
        <f t="shared" ref="AI33" si="253">IF(AH33="Bartender",(HLOOKUP(AG33,SatFoodTable,6)*AB33)+(HLOOKUP(AG33,SatHostTable,6)*AB33)+AK33,SUM(AK33,AL33,AM33))</f>
        <v>0</v>
      </c>
      <c r="AJ33" s="38">
        <f t="shared" ref="AJ33" si="254">IFERROR(IF(AH33="Bartender",(HLOOKUP(AG33,SatBarTable,6)*AB33)+AI33,AC33+AI33),"")</f>
        <v>0</v>
      </c>
      <c r="AK33" s="29">
        <f t="shared" ref="AK33" si="255">IF(AH33="Server",-AE33*AlcoholTipPercentage,0)+IF(AH33="Bartender",HLOOKUP(AG33,SatBarTable,5)*AB33)</f>
        <v>0</v>
      </c>
      <c r="AL33" s="29" t="str" cm="1">
        <f t="array" ref="AL33">IFERROR(_xlfn.IFS(HLOOKUP(AG33,SatFoodTable,2)=0,0,OR(AH33="Server",AH33="Bartender"),-AD33*FoodTipPercentage,OR(AH33="Expo",AH33="Food Runner"),HLOOKUP(AG33,SatFoodTable,5)*AB33,AH33="Host",0),"")</f>
        <v/>
      </c>
      <c r="AM33" s="29" t="str" cm="1">
        <f t="array" ref="AM33">IFERROR(_xlfn.IFS(HLOOKUP(AG33,SatHostTable,2)=0,0,OR(AH33="Server",AH33="Bartender"),-AF33*HostTipPercentage,AH33="Host",HLOOKUP(AG33,SatHostTable,5)*AB33,OR(AH33="Expo",AH33="Food Runner"),0),"")</f>
        <v/>
      </c>
      <c r="AN33" s="63" t="s">
        <v>55</v>
      </c>
      <c r="AO33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3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3" s="29">
        <f>IFERROR(Table42478910111213141821232527232527[[#This Row],[Weekly Tips]]/Table42478910111213141821232527232527[[#This Row],[Hours]],0)</f>
        <v>0</v>
      </c>
      <c r="AR33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3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3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  <c r="AU33" s="29" t="s">
        <v>15</v>
      </c>
    </row>
    <row r="34" spans="1:47" ht="16" x14ac:dyDescent="0.2">
      <c r="A34" s="59"/>
      <c r="B34" s="60"/>
      <c r="C34" s="59"/>
      <c r="D34" s="59"/>
      <c r="E34" s="59"/>
      <c r="F34" s="37">
        <f t="shared" si="217"/>
        <v>0</v>
      </c>
      <c r="G34" s="59"/>
      <c r="H34" s="59"/>
      <c r="I34" s="37">
        <f t="shared" ref="I34" si="256">IF(H34="Bartender",(HLOOKUP(G34,TuesFoodTable,6)*B34)+(HLOOKUP(G34,TuesHostTable,6)*B34)+K34,SUM(K34,L34,M34))</f>
        <v>0</v>
      </c>
      <c r="J34" s="37">
        <f t="shared" ref="J34" si="257">IFERROR(IF(H34="Bartender",(HLOOKUP(G34,TuesBarTable,6)*B34)+I34,C34+I34),"")</f>
        <v>0</v>
      </c>
      <c r="K34" s="29">
        <f t="shared" ref="K34" si="258">IF(H34="Server",-E34*AlcoholTipPercentage,0)+IF(H34="Bartender",HLOOKUP(G34,TuesBarTable,5)*B34)</f>
        <v>0</v>
      </c>
      <c r="L34" s="29" t="str" cm="1">
        <f t="array" ref="L34">IFERROR(_xlfn.IFS(HLOOKUP(G34,TuesFoodTable,2)=0,0,OR(H34="Server",H34="Bartender"),-D34*FoodTipPercentage,OR(H34="Expo",H34="Food Runner"),HLOOKUP(G34,TuesFoodTable,5)*B34,H34="Host",0),"")</f>
        <v/>
      </c>
      <c r="M34" s="29" t="str" cm="1">
        <f t="array" ref="M34">IFERROR(_xlfn.IFS(HLOOKUP(G34,TuesHostTable,2)=0,0,OR(H34="Server",H34="Bartender"),-F34*HostTipPercentage,H34="Host",HLOOKUP(G34,TuesHostTable,5)*B34,OR(H34="Expo",H34="Food Runner"),0),"")</f>
        <v/>
      </c>
      <c r="N34" s="61"/>
      <c r="O34" s="62"/>
      <c r="P34" s="61"/>
      <c r="Q34" s="61"/>
      <c r="R34" s="61"/>
      <c r="S34" s="42">
        <f t="shared" si="221"/>
        <v>0</v>
      </c>
      <c r="T34" s="61"/>
      <c r="U34" s="61"/>
      <c r="V34" s="42">
        <f t="shared" ref="V34" si="259">IF(U34="Bartender",(HLOOKUP(T34,ThursFoodTable,6)*O34)+(HLOOKUP(T34,ThursHostTable,6)*O34)+X34,SUM(X34,Y34,Z34))</f>
        <v>0</v>
      </c>
      <c r="W34" s="42">
        <f t="shared" ref="W34" si="260">IFERROR(IF(U34="Bartender",(HLOOKUP(T34,ThursBarTable,6)*O34)+V34,P34+V34),"")</f>
        <v>0</v>
      </c>
      <c r="X34" s="29">
        <f t="shared" ref="X34" si="261">IF(U34="Server",-R34*AlcoholTipPercentage,0)+IF(U34="Bartender",HLOOKUP(T34,ThursBarTable,5)*O34)</f>
        <v>0</v>
      </c>
      <c r="Y34" s="29" t="str" cm="1">
        <f t="array" ref="Y34">IFERROR(_xlfn.IFS(HLOOKUP(T34,ThursFoodTable,2)=0,0,OR(U34="Server",U34="Bartender"),-Q34*FoodTipPercentage,OR(U34="Expo",U34="Food Runner"),HLOOKUP(T34,ThursFoodTable,5)*O34,U34="Host",0),"")</f>
        <v/>
      </c>
      <c r="Z34" s="29" t="str" cm="1">
        <f t="array" ref="Z34">IFERROR(_xlfn.IFS(HLOOKUP(T34,ThursHostTable,2)=0,0,OR(U34="Server",U34="Bartender"),-S34*HostTipPercentage,U34="Host",HLOOKUP(T34,ThursHostTable,5)*O34,OR(U34="Expo",U34="Food Runner"),0),"")</f>
        <v/>
      </c>
      <c r="AA34" s="55"/>
      <c r="AB34" s="56"/>
      <c r="AC34" s="55"/>
      <c r="AD34" s="55"/>
      <c r="AE34" s="55"/>
      <c r="AF34" s="38">
        <f t="shared" si="225"/>
        <v>0</v>
      </c>
      <c r="AG34" s="55"/>
      <c r="AH34" s="55"/>
      <c r="AI34" s="38">
        <f t="shared" ref="AI34" si="262">IF(AH34="Bartender",(HLOOKUP(AG34,SatFoodTable,6)*AB34)+(HLOOKUP(AG34,SatHostTable,6)*AB34)+AK34,SUM(AK34,AL34,AM34))</f>
        <v>0</v>
      </c>
      <c r="AJ34" s="38">
        <f t="shared" ref="AJ34" si="263">IFERROR(IF(AH34="Bartender",(HLOOKUP(AG34,SatBarTable,6)*AB34)+AI34,AC34+AI34),"")</f>
        <v>0</v>
      </c>
      <c r="AK34" s="29">
        <f t="shared" ref="AK34" si="264">IF(AH34="Server",-AE34*AlcoholTipPercentage,0)+IF(AH34="Bartender",HLOOKUP(AG34,SatBarTable,5)*AB34)</f>
        <v>0</v>
      </c>
      <c r="AL34" s="29" t="str" cm="1">
        <f t="array" ref="AL34">IFERROR(_xlfn.IFS(HLOOKUP(AG34,SatFoodTable,2)=0,0,OR(AH34="Server",AH34="Bartender"),-AD34*FoodTipPercentage,OR(AH34="Expo",AH34="Food Runner"),HLOOKUP(AG34,SatFoodTable,5)*AB34,AH34="Host",0),"")</f>
        <v/>
      </c>
      <c r="AM34" s="29" t="str" cm="1">
        <f t="array" ref="AM34">IFERROR(_xlfn.IFS(HLOOKUP(AG34,SatHostTable,2)=0,0,OR(AH34="Server",AH34="Bartender"),-AF34*HostTipPercentage,AH34="Host",HLOOKUP(AG34,SatHostTable,5)*AB34,OR(AH34="Expo",AH34="Food Runner"),0),"")</f>
        <v/>
      </c>
      <c r="AN34" s="63" t="s">
        <v>58</v>
      </c>
      <c r="AO34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4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4" s="29">
        <f>IFERROR(Table42478910111213141821232527232527[[#This Row],[Weekly Tips]]/Table42478910111213141821232527232527[[#This Row],[Hours]],0)</f>
        <v>0</v>
      </c>
      <c r="AR34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4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4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5" spans="1:47" ht="16" x14ac:dyDescent="0.2">
      <c r="A35" s="59"/>
      <c r="B35" s="60"/>
      <c r="C35" s="59"/>
      <c r="D35" s="59"/>
      <c r="E35" s="59"/>
      <c r="F35" s="37">
        <f t="shared" si="217"/>
        <v>0</v>
      </c>
      <c r="G35" s="59"/>
      <c r="H35" s="59"/>
      <c r="I35" s="37">
        <f t="shared" ref="I35" si="265">IF(H35="Bartender",(HLOOKUP(G35,TuesFoodTable,6)*B35)+(HLOOKUP(G35,TuesHostTable,6)*B35)+K35,SUM(K35,L35,M35))</f>
        <v>0</v>
      </c>
      <c r="J35" s="37">
        <f t="shared" ref="J35" si="266">IFERROR(IF(H35="Bartender",(HLOOKUP(G35,TuesBarTable,6)*B35)+I35,C35+I35),"")</f>
        <v>0</v>
      </c>
      <c r="K35" s="29">
        <f t="shared" ref="K35" si="267">IF(H35="Server",-E35*AlcoholTipPercentage,0)+IF(H35="Bartender",HLOOKUP(G35,TuesBarTable,5)*B35)</f>
        <v>0</v>
      </c>
      <c r="L35" s="29" t="str" cm="1">
        <f t="array" ref="L35">IFERROR(_xlfn.IFS(HLOOKUP(G35,TuesFoodTable,2)=0,0,OR(H35="Server",H35="Bartender"),-D35*FoodTipPercentage,OR(H35="Expo",H35="Food Runner"),HLOOKUP(G35,TuesFoodTable,5)*B35,H35="Host",0),"")</f>
        <v/>
      </c>
      <c r="M35" s="29" t="str" cm="1">
        <f t="array" ref="M35">IFERROR(_xlfn.IFS(HLOOKUP(G35,TuesHostTable,2)=0,0,OR(H35="Server",H35="Bartender"),-F35*HostTipPercentage,H35="Host",HLOOKUP(G35,TuesHostTable,5)*B35,OR(H35="Expo",H35="Food Runner"),0),"")</f>
        <v/>
      </c>
      <c r="N35" s="61"/>
      <c r="O35" s="62"/>
      <c r="P35" s="61"/>
      <c r="Q35" s="61"/>
      <c r="R35" s="61"/>
      <c r="S35" s="42">
        <f t="shared" si="221"/>
        <v>0</v>
      </c>
      <c r="T35" s="61"/>
      <c r="U35" s="61"/>
      <c r="V35" s="42">
        <f t="shared" ref="V35" si="268">IF(U35="Bartender",(HLOOKUP(T35,ThursFoodTable,6)*O35)+(HLOOKUP(T35,ThursHostTable,6)*O35)+X35,SUM(X35,Y35,Z35))</f>
        <v>0</v>
      </c>
      <c r="W35" s="42">
        <f t="shared" ref="W35" si="269">IFERROR(IF(U35="Bartender",(HLOOKUP(T35,ThursBarTable,6)*O35)+V35,P35+V35),"")</f>
        <v>0</v>
      </c>
      <c r="X35" s="29">
        <f t="shared" ref="X35" si="270">IF(U35="Server",-R35*AlcoholTipPercentage,0)+IF(U35="Bartender",HLOOKUP(T35,ThursBarTable,5)*O35)</f>
        <v>0</v>
      </c>
      <c r="Y35" s="29" t="str" cm="1">
        <f t="array" ref="Y35">IFERROR(_xlfn.IFS(HLOOKUP(T35,ThursFoodTable,2)=0,0,OR(U35="Server",U35="Bartender"),-Q35*FoodTipPercentage,OR(U35="Expo",U35="Food Runner"),HLOOKUP(T35,ThursFoodTable,5)*O35,U35="Host",0),"")</f>
        <v/>
      </c>
      <c r="Z35" s="29" t="str" cm="1">
        <f t="array" ref="Z35">IFERROR(_xlfn.IFS(HLOOKUP(T35,ThursHostTable,2)=0,0,OR(U35="Server",U35="Bartender"),-S35*HostTipPercentage,U35="Host",HLOOKUP(T35,ThursHostTable,5)*O35,OR(U35="Expo",U35="Food Runner"),0),"")</f>
        <v/>
      </c>
      <c r="AA35" s="55"/>
      <c r="AB35" s="56"/>
      <c r="AC35" s="55"/>
      <c r="AD35" s="55"/>
      <c r="AE35" s="55"/>
      <c r="AF35" s="38">
        <f t="shared" si="225"/>
        <v>0</v>
      </c>
      <c r="AG35" s="55"/>
      <c r="AH35" s="55"/>
      <c r="AI35" s="38">
        <f t="shared" ref="AI35" si="271">IF(AH35="Bartender",(HLOOKUP(AG35,SatFoodTable,6)*AB35)+(HLOOKUP(AG35,SatHostTable,6)*AB35)+AK35,SUM(AK35,AL35,AM35))</f>
        <v>0</v>
      </c>
      <c r="AJ35" s="38">
        <f t="shared" ref="AJ35" si="272">IFERROR(IF(AH35="Bartender",(HLOOKUP(AG35,SatBarTable,6)*AB35)+AI35,AC35+AI35),"")</f>
        <v>0</v>
      </c>
      <c r="AK35" s="29">
        <f t="shared" ref="AK35" si="273">IF(AH35="Server",-AE35*AlcoholTipPercentage,0)+IF(AH35="Bartender",HLOOKUP(AG35,SatBarTable,5)*AB35)</f>
        <v>0</v>
      </c>
      <c r="AL35" s="29" t="str" cm="1">
        <f t="array" ref="AL35">IFERROR(_xlfn.IFS(HLOOKUP(AG35,SatFoodTable,2)=0,0,OR(AH35="Server",AH35="Bartender"),-AD35*FoodTipPercentage,OR(AH35="Expo",AH35="Food Runner"),HLOOKUP(AG35,SatFoodTable,5)*AB35,AH35="Host",0),"")</f>
        <v/>
      </c>
      <c r="AM35" s="29" t="str" cm="1">
        <f t="array" ref="AM35">IFERROR(_xlfn.IFS(HLOOKUP(AG35,SatHostTable,2)=0,0,OR(AH35="Server",AH35="Bartender"),-AF35*HostTipPercentage,AH35="Host",HLOOKUP(AG35,SatHostTable,5)*AB35,OR(AH35="Expo",AH35="Food Runner"),0),"")</f>
        <v/>
      </c>
      <c r="AN35" s="63" t="s">
        <v>56</v>
      </c>
      <c r="AO35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5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5" s="29">
        <f>IFERROR(Table42478910111213141821232527232527[[#This Row],[Weekly Tips]]/Table42478910111213141821232527232527[[#This Row],[Hours]],0)</f>
        <v>0</v>
      </c>
      <c r="AR35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5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5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6" spans="1:47" ht="16" x14ac:dyDescent="0.2">
      <c r="A36" s="59"/>
      <c r="B36" s="60"/>
      <c r="C36" s="59"/>
      <c r="D36" s="59"/>
      <c r="E36" s="59"/>
      <c r="F36" s="37">
        <f t="shared" si="217"/>
        <v>0</v>
      </c>
      <c r="G36" s="59"/>
      <c r="H36" s="59"/>
      <c r="I36" s="37">
        <f t="shared" ref="I36" si="274">IF(H36="Bartender",(HLOOKUP(G36,TuesFoodTable,6)*B36)+(HLOOKUP(G36,TuesHostTable,6)*B36)+K36,SUM(K36,L36,M36))</f>
        <v>0</v>
      </c>
      <c r="J36" s="37">
        <f t="shared" ref="J36" si="275">IFERROR(IF(H36="Bartender",(HLOOKUP(G36,TuesBarTable,6)*B36)+I36,C36+I36),"")</f>
        <v>0</v>
      </c>
      <c r="K36" s="29">
        <f t="shared" ref="K36" si="276">IF(H36="Server",-E36*AlcoholTipPercentage,0)+IF(H36="Bartender",HLOOKUP(G36,TuesBarTable,5)*B36)</f>
        <v>0</v>
      </c>
      <c r="L36" s="29" t="str" cm="1">
        <f t="array" ref="L36">IFERROR(_xlfn.IFS(HLOOKUP(G36,TuesFoodTable,2)=0,0,OR(H36="Server",H36="Bartender"),-D36*FoodTipPercentage,OR(H36="Expo",H36="Food Runner"),HLOOKUP(G36,TuesFoodTable,5)*B36,H36="Host",0),"")</f>
        <v/>
      </c>
      <c r="M36" s="29" t="str" cm="1">
        <f t="array" ref="M36">IFERROR(_xlfn.IFS(HLOOKUP(G36,TuesHostTable,2)=0,0,OR(H36="Server",H36="Bartender"),-F36*HostTipPercentage,H36="Host",HLOOKUP(G36,TuesHostTable,5)*B36,OR(H36="Expo",H36="Food Runner"),0),"")</f>
        <v/>
      </c>
      <c r="N36" s="61"/>
      <c r="O36" s="62"/>
      <c r="P36" s="61"/>
      <c r="Q36" s="61"/>
      <c r="R36" s="61"/>
      <c r="S36" s="42">
        <f t="shared" si="221"/>
        <v>0</v>
      </c>
      <c r="T36" s="61"/>
      <c r="U36" s="61"/>
      <c r="V36" s="42">
        <f t="shared" ref="V36" si="277">IF(U36="Bartender",(HLOOKUP(T36,ThursFoodTable,6)*O36)+(HLOOKUP(T36,ThursHostTable,6)*O36)+X36,SUM(X36,Y36,Z36))</f>
        <v>0</v>
      </c>
      <c r="W36" s="42">
        <f t="shared" ref="W36" si="278">IFERROR(IF(U36="Bartender",(HLOOKUP(T36,ThursBarTable,6)*O36)+V36,P36+V36),"")</f>
        <v>0</v>
      </c>
      <c r="X36" s="29">
        <f t="shared" ref="X36" si="279">IF(U36="Server",-R36*AlcoholTipPercentage,0)+IF(U36="Bartender",HLOOKUP(T36,ThursBarTable,5)*O36)</f>
        <v>0</v>
      </c>
      <c r="Y36" s="29" t="str" cm="1">
        <f t="array" ref="Y36">IFERROR(_xlfn.IFS(HLOOKUP(T36,ThursFoodTable,2)=0,0,OR(U36="Server",U36="Bartender"),-Q36*FoodTipPercentage,OR(U36="Expo",U36="Food Runner"),HLOOKUP(T36,ThursFoodTable,5)*O36,U36="Host",0),"")</f>
        <v/>
      </c>
      <c r="Z36" s="29" t="str" cm="1">
        <f t="array" ref="Z36">IFERROR(_xlfn.IFS(HLOOKUP(T36,ThursHostTable,2)=0,0,OR(U36="Server",U36="Bartender"),-S36*HostTipPercentage,U36="Host",HLOOKUP(T36,ThursHostTable,5)*O36,OR(U36="Expo",U36="Food Runner"),0),"")</f>
        <v/>
      </c>
      <c r="AA36" s="55"/>
      <c r="AB36" s="56"/>
      <c r="AC36" s="55"/>
      <c r="AD36" s="55"/>
      <c r="AE36" s="55"/>
      <c r="AF36" s="38">
        <f t="shared" si="225"/>
        <v>0</v>
      </c>
      <c r="AG36" s="55"/>
      <c r="AH36" s="55"/>
      <c r="AI36" s="38">
        <f t="shared" ref="AI36" si="280">IF(AH36="Bartender",(HLOOKUP(AG36,SatFoodTable,6)*AB36)+(HLOOKUP(AG36,SatHostTable,6)*AB36)+AK36,SUM(AK36,AL36,AM36))</f>
        <v>0</v>
      </c>
      <c r="AJ36" s="38">
        <f t="shared" ref="AJ36" si="281">IFERROR(IF(AH36="Bartender",(HLOOKUP(AG36,SatBarTable,6)*AB36)+AI36,AC36+AI36),"")</f>
        <v>0</v>
      </c>
      <c r="AK36" s="29">
        <f t="shared" ref="AK36" si="282">IF(AH36="Server",-AE36*AlcoholTipPercentage,0)+IF(AH36="Bartender",HLOOKUP(AG36,SatBarTable,5)*AB36)</f>
        <v>0</v>
      </c>
      <c r="AL36" s="29" t="str" cm="1">
        <f t="array" ref="AL36">IFERROR(_xlfn.IFS(HLOOKUP(AG36,SatFoodTable,2)=0,0,OR(AH36="Server",AH36="Bartender"),-AD36*FoodTipPercentage,OR(AH36="Expo",AH36="Food Runner"),HLOOKUP(AG36,SatFoodTable,5)*AB36,AH36="Host",0),"")</f>
        <v/>
      </c>
      <c r="AM36" s="29" t="str" cm="1">
        <f t="array" ref="AM36">IFERROR(_xlfn.IFS(HLOOKUP(AG36,SatHostTable,2)=0,0,OR(AH36="Server",AH36="Bartender"),-AF36*HostTipPercentage,AH36="Host",HLOOKUP(AG36,SatHostTable,5)*AB36,OR(AH36="Expo",AH36="Food Runner"),0),"")</f>
        <v/>
      </c>
      <c r="AN36" s="63" t="s">
        <v>64</v>
      </c>
      <c r="AO36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6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6" s="29">
        <f>IFERROR(Table42478910111213141821232527232527[[#This Row],[Weekly Tips]]/Table42478910111213141821232527232527[[#This Row],[Hours]],0)</f>
        <v>0</v>
      </c>
      <c r="AR36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6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6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7" spans="1:47" ht="16" x14ac:dyDescent="0.2">
      <c r="A37" s="59"/>
      <c r="B37" s="60"/>
      <c r="C37" s="59"/>
      <c r="D37" s="59"/>
      <c r="E37" s="59"/>
      <c r="F37" s="37">
        <f t="shared" si="217"/>
        <v>0</v>
      </c>
      <c r="G37" s="59"/>
      <c r="H37" s="59"/>
      <c r="I37" s="37">
        <f t="shared" ref="I37" si="283">IF(H37="Bartender",(HLOOKUP(G37,TuesFoodTable,6)*B37)+(HLOOKUP(G37,TuesHostTable,6)*B37)+K37,SUM(K37,L37,M37))</f>
        <v>0</v>
      </c>
      <c r="J37" s="37">
        <f t="shared" ref="J37" si="284">IFERROR(IF(H37="Bartender",(HLOOKUP(G37,TuesBarTable,6)*B37)+I37,C37+I37),"")</f>
        <v>0</v>
      </c>
      <c r="K37" s="29">
        <f t="shared" ref="K37" si="285">IF(H37="Server",-E37*AlcoholTipPercentage,0)+IF(H37="Bartender",HLOOKUP(G37,TuesBarTable,5)*B37)</f>
        <v>0</v>
      </c>
      <c r="L37" s="29" t="str" cm="1">
        <f t="array" ref="L37">IFERROR(_xlfn.IFS(HLOOKUP(G37,TuesFoodTable,2)=0,0,OR(H37="Server",H37="Bartender"),-D37*FoodTipPercentage,OR(H37="Expo",H37="Food Runner"),HLOOKUP(G37,TuesFoodTable,5)*B37,H37="Host",0),"")</f>
        <v/>
      </c>
      <c r="M37" s="29" t="str" cm="1">
        <f t="array" ref="M37">IFERROR(_xlfn.IFS(HLOOKUP(G37,TuesHostTable,2)=0,0,OR(H37="Server",H37="Bartender"),-F37*HostTipPercentage,H37="Host",HLOOKUP(G37,TuesHostTable,5)*B37,OR(H37="Expo",H37="Food Runner"),0),"")</f>
        <v/>
      </c>
      <c r="N37" s="61"/>
      <c r="O37" s="62"/>
      <c r="P37" s="61"/>
      <c r="Q37" s="61"/>
      <c r="R37" s="61"/>
      <c r="S37" s="42">
        <f t="shared" si="221"/>
        <v>0</v>
      </c>
      <c r="T37" s="61"/>
      <c r="U37" s="61"/>
      <c r="V37" s="42">
        <f t="shared" ref="V37" si="286">IF(U37="Bartender",(HLOOKUP(T37,ThursFoodTable,6)*O37)+(HLOOKUP(T37,ThursHostTable,6)*O37)+X37,SUM(X37,Y37,Z37))</f>
        <v>0</v>
      </c>
      <c r="W37" s="42">
        <f t="shared" ref="W37" si="287">IFERROR(IF(U37="Bartender",(HLOOKUP(T37,ThursBarTable,6)*O37)+V37,P37+V37),"")</f>
        <v>0</v>
      </c>
      <c r="X37" s="29">
        <f t="shared" ref="X37" si="288">IF(U37="Server",-R37*AlcoholTipPercentage,0)+IF(U37="Bartender",HLOOKUP(T37,ThursBarTable,5)*O37)</f>
        <v>0</v>
      </c>
      <c r="Y37" s="29" t="str" cm="1">
        <f t="array" ref="Y37">IFERROR(_xlfn.IFS(HLOOKUP(T37,ThursFoodTable,2)=0,0,OR(U37="Server",U37="Bartender"),-Q37*FoodTipPercentage,OR(U37="Expo",U37="Food Runner"),HLOOKUP(T37,ThursFoodTable,5)*O37,U37="Host",0),"")</f>
        <v/>
      </c>
      <c r="Z37" s="29" t="str" cm="1">
        <f t="array" ref="Z37">IFERROR(_xlfn.IFS(HLOOKUP(T37,ThursHostTable,2)=0,0,OR(U37="Server",U37="Bartender"),-S37*HostTipPercentage,U37="Host",HLOOKUP(T37,ThursHostTable,5)*O37,OR(U37="Expo",U37="Food Runner"),0),"")</f>
        <v/>
      </c>
      <c r="AA37" s="55"/>
      <c r="AB37" s="56"/>
      <c r="AC37" s="55"/>
      <c r="AD37" s="55"/>
      <c r="AE37" s="55"/>
      <c r="AF37" s="38">
        <f t="shared" si="225"/>
        <v>0</v>
      </c>
      <c r="AG37" s="55"/>
      <c r="AH37" s="55"/>
      <c r="AI37" s="38">
        <f t="shared" ref="AI37" si="289">IF(AH37="Bartender",(HLOOKUP(AG37,SatFoodTable,6)*AB37)+(HLOOKUP(AG37,SatHostTable,6)*AB37)+AK37,SUM(AK37,AL37,AM37))</f>
        <v>0</v>
      </c>
      <c r="AJ37" s="38">
        <f t="shared" ref="AJ37" si="290">IFERROR(IF(AH37="Bartender",(HLOOKUP(AG37,SatBarTable,6)*AB37)+AI37,AC37+AI37),"")</f>
        <v>0</v>
      </c>
      <c r="AK37" s="29">
        <f t="shared" ref="AK37" si="291">IF(AH37="Server",-AE37*AlcoholTipPercentage,0)+IF(AH37="Bartender",HLOOKUP(AG37,SatBarTable,5)*AB37)</f>
        <v>0</v>
      </c>
      <c r="AL37" s="29" t="str" cm="1">
        <f t="array" ref="AL37">IFERROR(_xlfn.IFS(HLOOKUP(AG37,SatFoodTable,2)=0,0,OR(AH37="Server",AH37="Bartender"),-AD37*FoodTipPercentage,OR(AH37="Expo",AH37="Food Runner"),HLOOKUP(AG37,SatFoodTable,5)*AB37,AH37="Host",0),"")</f>
        <v/>
      </c>
      <c r="AM37" s="29" t="str" cm="1">
        <f t="array" ref="AM37">IFERROR(_xlfn.IFS(HLOOKUP(AG37,SatHostTable,2)=0,0,OR(AH37="Server",AH37="Bartender"),-AF37*HostTipPercentage,AH37="Host",HLOOKUP(AG37,SatHostTable,5)*AB37,OR(AH37="Expo",AH37="Food Runner"),0),"")</f>
        <v/>
      </c>
      <c r="AN37" s="63" t="s">
        <v>60</v>
      </c>
      <c r="AO37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7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7" s="29">
        <f>IFERROR(Table42478910111213141821232527232527[[#This Row],[Weekly Tips]]/Table42478910111213141821232527232527[[#This Row],[Hours]],0)</f>
        <v>0</v>
      </c>
      <c r="AR37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7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7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8" spans="1:47" ht="16" x14ac:dyDescent="0.2">
      <c r="A38" s="59"/>
      <c r="B38" s="60"/>
      <c r="C38" s="59"/>
      <c r="D38" s="59"/>
      <c r="E38" s="59"/>
      <c r="F38" s="37">
        <f t="shared" si="217"/>
        <v>0</v>
      </c>
      <c r="G38" s="59"/>
      <c r="H38" s="59"/>
      <c r="I38" s="37">
        <f t="shared" ref="I38" si="292">IF(H38="Bartender",(HLOOKUP(G38,TuesFoodTable,6)*B38)+(HLOOKUP(G38,TuesHostTable,6)*B38)+K38,SUM(K38,L38,M38))</f>
        <v>0</v>
      </c>
      <c r="J38" s="37">
        <f t="shared" ref="J38" si="293">IFERROR(IF(H38="Bartender",(HLOOKUP(G38,TuesBarTable,6)*B38)+I38,C38+I38),"")</f>
        <v>0</v>
      </c>
      <c r="K38" s="29">
        <f t="shared" ref="K38" si="294">IF(H38="Server",-E38*AlcoholTipPercentage,0)+IF(H38="Bartender",HLOOKUP(G38,TuesBarTable,5)*B38)</f>
        <v>0</v>
      </c>
      <c r="L38" s="29" t="str" cm="1">
        <f t="array" ref="L38">IFERROR(_xlfn.IFS(HLOOKUP(G38,TuesFoodTable,2)=0,0,OR(H38="Server",H38="Bartender"),-D38*FoodTipPercentage,OR(H38="Expo",H38="Food Runner"),HLOOKUP(G38,TuesFoodTable,5)*B38,H38="Host",0),"")</f>
        <v/>
      </c>
      <c r="M38" s="29" t="str" cm="1">
        <f t="array" ref="M38">IFERROR(_xlfn.IFS(HLOOKUP(G38,TuesHostTable,2)=0,0,OR(H38="Server",H38="Bartender"),-F38*HostTipPercentage,H38="Host",HLOOKUP(G38,TuesHostTable,5)*B38,OR(H38="Expo",H38="Food Runner"),0),"")</f>
        <v/>
      </c>
      <c r="N38" s="61"/>
      <c r="O38" s="62"/>
      <c r="P38" s="61"/>
      <c r="Q38" s="61"/>
      <c r="R38" s="61"/>
      <c r="S38" s="42">
        <f t="shared" si="221"/>
        <v>0</v>
      </c>
      <c r="T38" s="61"/>
      <c r="U38" s="61"/>
      <c r="V38" s="42">
        <f t="shared" ref="V38" si="295">IF(U38="Bartender",(HLOOKUP(T38,ThursFoodTable,6)*O38)+(HLOOKUP(T38,ThursHostTable,6)*O38)+X38,SUM(X38,Y38,Z38))</f>
        <v>0</v>
      </c>
      <c r="W38" s="42">
        <f t="shared" ref="W38" si="296">IFERROR(IF(U38="Bartender",(HLOOKUP(T38,ThursBarTable,6)*O38)+V38,P38+V38),"")</f>
        <v>0</v>
      </c>
      <c r="X38" s="29">
        <f t="shared" ref="X38" si="297">IF(U38="Server",-R38*AlcoholTipPercentage,0)+IF(U38="Bartender",HLOOKUP(T38,ThursBarTable,5)*O38)</f>
        <v>0</v>
      </c>
      <c r="Y38" s="29" t="str" cm="1">
        <f t="array" ref="Y38">IFERROR(_xlfn.IFS(HLOOKUP(T38,ThursFoodTable,2)=0,0,OR(U38="Server",U38="Bartender"),-Q38*FoodTipPercentage,OR(U38="Expo",U38="Food Runner"),HLOOKUP(T38,ThursFoodTable,5)*O38,U38="Host",0),"")</f>
        <v/>
      </c>
      <c r="Z38" s="29" t="str" cm="1">
        <f t="array" ref="Z38">IFERROR(_xlfn.IFS(HLOOKUP(T38,ThursHostTable,2)=0,0,OR(U38="Server",U38="Bartender"),-S38*HostTipPercentage,U38="Host",HLOOKUP(T38,ThursHostTable,5)*O38,OR(U38="Expo",U38="Food Runner"),0),"")</f>
        <v/>
      </c>
      <c r="AA38" s="55"/>
      <c r="AB38" s="56"/>
      <c r="AC38" s="55"/>
      <c r="AD38" s="55"/>
      <c r="AE38" s="55"/>
      <c r="AF38" s="38">
        <f t="shared" si="225"/>
        <v>0</v>
      </c>
      <c r="AG38" s="55"/>
      <c r="AH38" s="55"/>
      <c r="AI38" s="38">
        <f t="shared" ref="AI38" si="298">IF(AH38="Bartender",(HLOOKUP(AG38,SatFoodTable,6)*AB38)+(HLOOKUP(AG38,SatHostTable,6)*AB38)+AK38,SUM(AK38,AL38,AM38))</f>
        <v>0</v>
      </c>
      <c r="AJ38" s="38">
        <f t="shared" ref="AJ38" si="299">IFERROR(IF(AH38="Bartender",(HLOOKUP(AG38,SatBarTable,6)*AB38)+AI38,AC38+AI38),"")</f>
        <v>0</v>
      </c>
      <c r="AK38" s="29">
        <f t="shared" ref="AK38" si="300">IF(AH38="Server",-AE38*AlcoholTipPercentage,0)+IF(AH38="Bartender",HLOOKUP(AG38,SatBarTable,5)*AB38)</f>
        <v>0</v>
      </c>
      <c r="AL38" s="29" t="str" cm="1">
        <f t="array" ref="AL38">IFERROR(_xlfn.IFS(HLOOKUP(AG38,SatFoodTable,2)=0,0,OR(AH38="Server",AH38="Bartender"),-AD38*FoodTipPercentage,OR(AH38="Expo",AH38="Food Runner"),HLOOKUP(AG38,SatFoodTable,5)*AB38,AH38="Host",0),"")</f>
        <v/>
      </c>
      <c r="AM38" s="29" t="str" cm="1">
        <f t="array" ref="AM38">IFERROR(_xlfn.IFS(HLOOKUP(AG38,SatHostTable,2)=0,0,OR(AH38="Server",AH38="Bartender"),-AF38*HostTipPercentage,AH38="Host",HLOOKUP(AG38,SatHostTable,5)*AB38,OR(AH38="Expo",AH38="Food Runner"),0),"")</f>
        <v/>
      </c>
      <c r="AN38" s="63" t="s">
        <v>62</v>
      </c>
      <c r="AO38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8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8" s="29">
        <f>IFERROR(Table42478910111213141821232527232527[[#This Row],[Weekly Tips]]/Table42478910111213141821232527232527[[#This Row],[Hours]],0)</f>
        <v>0</v>
      </c>
      <c r="AR38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8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8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39" spans="1:47" ht="16" x14ac:dyDescent="0.2">
      <c r="A39" s="59"/>
      <c r="B39" s="60"/>
      <c r="C39" s="59"/>
      <c r="D39" s="59"/>
      <c r="E39" s="59"/>
      <c r="F39" s="37">
        <f t="shared" si="217"/>
        <v>0</v>
      </c>
      <c r="G39" s="59"/>
      <c r="H39" s="59"/>
      <c r="I39" s="37">
        <f t="shared" ref="I39" si="301">IF(H39="Bartender",(HLOOKUP(G39,TuesFoodTable,6)*B39)+(HLOOKUP(G39,TuesHostTable,6)*B39)+K39,SUM(K39,L39,M39))</f>
        <v>0</v>
      </c>
      <c r="J39" s="37">
        <f t="shared" ref="J39" si="302">IFERROR(IF(H39="Bartender",(HLOOKUP(G39,TuesBarTable,6)*B39)+I39,C39+I39),"")</f>
        <v>0</v>
      </c>
      <c r="K39" s="29">
        <f t="shared" ref="K39" si="303">IF(H39="Server",-E39*AlcoholTipPercentage,0)+IF(H39="Bartender",HLOOKUP(G39,TuesBarTable,5)*B39)</f>
        <v>0</v>
      </c>
      <c r="L39" s="29" t="str" cm="1">
        <f t="array" ref="L39">IFERROR(_xlfn.IFS(HLOOKUP(G39,TuesFoodTable,2)=0,0,OR(H39="Server",H39="Bartender"),-D39*FoodTipPercentage,OR(H39="Expo",H39="Food Runner"),HLOOKUP(G39,TuesFoodTable,5)*B39,H39="Host",0),"")</f>
        <v/>
      </c>
      <c r="M39" s="29" t="str" cm="1">
        <f t="array" ref="M39">IFERROR(_xlfn.IFS(HLOOKUP(G39,TuesHostTable,2)=0,0,OR(H39="Server",H39="Bartender"),-F39*HostTipPercentage,H39="Host",HLOOKUP(G39,TuesHostTable,5)*B39,OR(H39="Expo",H39="Food Runner"),0),"")</f>
        <v/>
      </c>
      <c r="N39" s="61"/>
      <c r="O39" s="62"/>
      <c r="P39" s="61"/>
      <c r="Q39" s="61"/>
      <c r="R39" s="61"/>
      <c r="S39" s="42">
        <f t="shared" si="221"/>
        <v>0</v>
      </c>
      <c r="T39" s="61"/>
      <c r="U39" s="61"/>
      <c r="V39" s="42">
        <f t="shared" ref="V39" si="304">IF(U39="Bartender",(HLOOKUP(T39,ThursFoodTable,6)*O39)+(HLOOKUP(T39,ThursHostTable,6)*O39)+X39,SUM(X39,Y39,Z39))</f>
        <v>0</v>
      </c>
      <c r="W39" s="42">
        <f t="shared" ref="W39" si="305">IFERROR(IF(U39="Bartender",(HLOOKUP(T39,ThursBarTable,6)*O39)+V39,P39+V39),"")</f>
        <v>0</v>
      </c>
      <c r="X39" s="29">
        <f t="shared" ref="X39" si="306">IF(U39="Server",-R39*AlcoholTipPercentage,0)+IF(U39="Bartender",HLOOKUP(T39,ThursBarTable,5)*O39)</f>
        <v>0</v>
      </c>
      <c r="Y39" s="29" t="str" cm="1">
        <f t="array" ref="Y39">IFERROR(_xlfn.IFS(HLOOKUP(T39,ThursFoodTable,2)=0,0,OR(U39="Server",U39="Bartender"),-Q39*FoodTipPercentage,OR(U39="Expo",U39="Food Runner"),HLOOKUP(T39,ThursFoodTable,5)*O39,U39="Host",0),"")</f>
        <v/>
      </c>
      <c r="Z39" s="29" t="str" cm="1">
        <f t="array" ref="Z39">IFERROR(_xlfn.IFS(HLOOKUP(T39,ThursHostTable,2)=0,0,OR(U39="Server",U39="Bartender"),-S39*HostTipPercentage,U39="Host",HLOOKUP(T39,ThursHostTable,5)*O39,OR(U39="Expo",U39="Food Runner"),0),"")</f>
        <v/>
      </c>
      <c r="AA39" s="55"/>
      <c r="AB39" s="56"/>
      <c r="AC39" s="55"/>
      <c r="AD39" s="55"/>
      <c r="AE39" s="55"/>
      <c r="AF39" s="38">
        <f t="shared" si="225"/>
        <v>0</v>
      </c>
      <c r="AG39" s="55"/>
      <c r="AH39" s="55"/>
      <c r="AI39" s="38">
        <f t="shared" ref="AI39" si="307">IF(AH39="Bartender",(HLOOKUP(AG39,SatFoodTable,6)*AB39)+(HLOOKUP(AG39,SatHostTable,6)*AB39)+AK39,SUM(AK39,AL39,AM39))</f>
        <v>0</v>
      </c>
      <c r="AJ39" s="38">
        <f t="shared" ref="AJ39" si="308">IFERROR(IF(AH39="Bartender",(HLOOKUP(AG39,SatBarTable,6)*AB39)+AI39,AC39+AI39),"")</f>
        <v>0</v>
      </c>
      <c r="AK39" s="29">
        <f t="shared" ref="AK39" si="309">IF(AH39="Server",-AE39*AlcoholTipPercentage,0)+IF(AH39="Bartender",HLOOKUP(AG39,SatBarTable,5)*AB39)</f>
        <v>0</v>
      </c>
      <c r="AL39" s="29" t="str" cm="1">
        <f t="array" ref="AL39">IFERROR(_xlfn.IFS(HLOOKUP(AG39,SatFoodTable,2)=0,0,OR(AH39="Server",AH39="Bartender"),-AD39*FoodTipPercentage,OR(AH39="Expo",AH39="Food Runner"),HLOOKUP(AG39,SatFoodTable,5)*AB39,AH39="Host",0),"")</f>
        <v/>
      </c>
      <c r="AM39" s="29" t="str" cm="1">
        <f t="array" ref="AM39">IFERROR(_xlfn.IFS(HLOOKUP(AG39,SatHostTable,2)=0,0,OR(AH39="Server",AH39="Bartender"),-AF39*HostTipPercentage,AH39="Host",HLOOKUP(AG39,SatHostTable,5)*AB39,OR(AH39="Expo",AH39="Food Runner"),0),"")</f>
        <v/>
      </c>
      <c r="AN39" s="63" t="s">
        <v>65</v>
      </c>
      <c r="AO39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39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39" s="29">
        <f>IFERROR(Table42478910111213141821232527232527[[#This Row],[Weekly Tips]]/Table42478910111213141821232527232527[[#This Row],[Hours]],0)</f>
        <v>0</v>
      </c>
      <c r="AR39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39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39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  <c r="AU39" s="29" t="s">
        <v>33</v>
      </c>
    </row>
    <row r="40" spans="1:47" ht="16" x14ac:dyDescent="0.2">
      <c r="A40" s="59"/>
      <c r="B40" s="60"/>
      <c r="C40" s="59"/>
      <c r="D40" s="59"/>
      <c r="E40" s="59"/>
      <c r="F40" s="37">
        <f t="shared" si="217"/>
        <v>0</v>
      </c>
      <c r="G40" s="59"/>
      <c r="H40" s="59"/>
      <c r="I40" s="37">
        <f t="shared" ref="I40" si="310">IF(H40="Bartender",(HLOOKUP(G40,TuesFoodTable,6)*B40)+(HLOOKUP(G40,TuesHostTable,6)*B40)+K40,SUM(K40,L40,M40))</f>
        <v>0</v>
      </c>
      <c r="J40" s="37">
        <f t="shared" ref="J40" si="311">IFERROR(IF(H40="Bartender",(HLOOKUP(G40,TuesBarTable,6)*B40)+I40,C40+I40),"")</f>
        <v>0</v>
      </c>
      <c r="K40" s="29">
        <f t="shared" ref="K40" si="312">IF(H40="Server",-E40*AlcoholTipPercentage,0)+IF(H40="Bartender",HLOOKUP(G40,TuesBarTable,5)*B40)</f>
        <v>0</v>
      </c>
      <c r="L40" s="29" t="str" cm="1">
        <f t="array" ref="L40">IFERROR(_xlfn.IFS(HLOOKUP(G40,TuesFoodTable,2)=0,0,OR(H40="Server",H40="Bartender"),-D40*FoodTipPercentage,OR(H40="Expo",H40="Food Runner"),HLOOKUP(G40,TuesFoodTable,5)*B40,H40="Host",0),"")</f>
        <v/>
      </c>
      <c r="M40" s="29" t="str" cm="1">
        <f t="array" ref="M40">IFERROR(_xlfn.IFS(HLOOKUP(G40,TuesHostTable,2)=0,0,OR(H40="Server",H40="Bartender"),-F40*HostTipPercentage,H40="Host",HLOOKUP(G40,TuesHostTable,5)*B40,OR(H40="Expo",H40="Food Runner"),0),"")</f>
        <v/>
      </c>
      <c r="N40" s="61"/>
      <c r="O40" s="62"/>
      <c r="P40" s="61"/>
      <c r="Q40" s="61"/>
      <c r="R40" s="61"/>
      <c r="S40" s="42">
        <f t="shared" si="221"/>
        <v>0</v>
      </c>
      <c r="T40" s="61"/>
      <c r="U40" s="61"/>
      <c r="V40" s="42">
        <f t="shared" ref="V40" si="313">IF(U40="Bartender",(HLOOKUP(T40,ThursFoodTable,6)*O40)+(HLOOKUP(T40,ThursHostTable,6)*O40)+X40,SUM(X40,Y40,Z40))</f>
        <v>0</v>
      </c>
      <c r="W40" s="42">
        <f t="shared" ref="W40" si="314">IFERROR(IF(U40="Bartender",(HLOOKUP(T40,ThursBarTable,6)*O40)+V40,P40+V40),"")</f>
        <v>0</v>
      </c>
      <c r="X40" s="29">
        <f t="shared" ref="X40" si="315">IF(U40="Server",-R40*AlcoholTipPercentage,0)+IF(U40="Bartender",HLOOKUP(T40,ThursBarTable,5)*O40)</f>
        <v>0</v>
      </c>
      <c r="Y40" s="29" t="str" cm="1">
        <f t="array" ref="Y40">IFERROR(_xlfn.IFS(HLOOKUP(T40,ThursFoodTable,2)=0,0,OR(U40="Server",U40="Bartender"),-Q40*FoodTipPercentage,OR(U40="Expo",U40="Food Runner"),HLOOKUP(T40,ThursFoodTable,5)*O40,U40="Host",0),"")</f>
        <v/>
      </c>
      <c r="Z40" s="29" t="str" cm="1">
        <f t="array" ref="Z40">IFERROR(_xlfn.IFS(HLOOKUP(T40,ThursHostTable,2)=0,0,OR(U40="Server",U40="Bartender"),-S40*HostTipPercentage,U40="Host",HLOOKUP(T40,ThursHostTable,5)*O40,OR(U40="Expo",U40="Food Runner"),0),"")</f>
        <v/>
      </c>
      <c r="AA40" s="55"/>
      <c r="AB40" s="56"/>
      <c r="AC40" s="55"/>
      <c r="AD40" s="55"/>
      <c r="AE40" s="55"/>
      <c r="AF40" s="38">
        <f t="shared" si="225"/>
        <v>0</v>
      </c>
      <c r="AG40" s="55"/>
      <c r="AH40" s="55"/>
      <c r="AI40" s="38">
        <f t="shared" ref="AI40" si="316">IF(AH40="Bartender",(HLOOKUP(AG40,SatFoodTable,6)*AB40)+(HLOOKUP(AG40,SatHostTable,6)*AB40)+AK40,SUM(AK40,AL40,AM40))</f>
        <v>0</v>
      </c>
      <c r="AJ40" s="38">
        <f t="shared" ref="AJ40" si="317">IFERROR(IF(AH40="Bartender",(HLOOKUP(AG40,SatBarTable,6)*AB40)+AI40,AC40+AI40),"")</f>
        <v>0</v>
      </c>
      <c r="AK40" s="29">
        <f t="shared" ref="AK40" si="318">IF(AH40="Server",-AE40*AlcoholTipPercentage,0)+IF(AH40="Bartender",HLOOKUP(AG40,SatBarTable,5)*AB40)</f>
        <v>0</v>
      </c>
      <c r="AL40" s="29" t="str" cm="1">
        <f t="array" ref="AL40">IFERROR(_xlfn.IFS(HLOOKUP(AG40,SatFoodTable,2)=0,0,OR(AH40="Server",AH40="Bartender"),-AD40*FoodTipPercentage,OR(AH40="Expo",AH40="Food Runner"),HLOOKUP(AG40,SatFoodTable,5)*AB40,AH40="Host",0),"")</f>
        <v/>
      </c>
      <c r="AM40" s="29" t="str" cm="1">
        <f t="array" ref="AM40">IFERROR(_xlfn.IFS(HLOOKUP(AG40,SatHostTable,2)=0,0,OR(AH40="Server",AH40="Bartender"),-AF40*HostTipPercentage,AH40="Host",HLOOKUP(AG40,SatHostTable,5)*AB40,OR(AH40="Expo",AH40="Food Runner"),0),"")</f>
        <v/>
      </c>
      <c r="AN40" s="63"/>
      <c r="AO40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0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0" s="29">
        <f>IFERROR(Table42478910111213141821232527232527[[#This Row],[Weekly Tips]]/Table42478910111213141821232527232527[[#This Row],[Hours]],0)</f>
        <v>0</v>
      </c>
      <c r="AR40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0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0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1" spans="1:47" ht="16" x14ac:dyDescent="0.2">
      <c r="A41" s="59"/>
      <c r="B41" s="60"/>
      <c r="C41" s="59"/>
      <c r="D41" s="59"/>
      <c r="E41" s="59"/>
      <c r="F41" s="37">
        <f t="shared" si="217"/>
        <v>0</v>
      </c>
      <c r="G41" s="59"/>
      <c r="H41" s="59"/>
      <c r="I41" s="37">
        <f t="shared" ref="I41" si="319">IF(H41="Bartender",(HLOOKUP(G41,TuesFoodTable,6)*B41)+(HLOOKUP(G41,TuesHostTable,6)*B41)+K41,SUM(K41,L41,M41))</f>
        <v>0</v>
      </c>
      <c r="J41" s="37">
        <f t="shared" ref="J41" si="320">IFERROR(IF(H41="Bartender",(HLOOKUP(G41,TuesBarTable,6)*B41)+I41,C41+I41),"")</f>
        <v>0</v>
      </c>
      <c r="K41" s="29">
        <f t="shared" ref="K41" si="321">IF(H41="Server",-E41*AlcoholTipPercentage,0)+IF(H41="Bartender",HLOOKUP(G41,TuesBarTable,5)*B41)</f>
        <v>0</v>
      </c>
      <c r="L41" s="29" t="str" cm="1">
        <f t="array" ref="L41">IFERROR(_xlfn.IFS(HLOOKUP(G41,TuesFoodTable,2)=0,0,OR(H41="Server",H41="Bartender"),-D41*FoodTipPercentage,OR(H41="Expo",H41="Food Runner"),HLOOKUP(G41,TuesFoodTable,5)*B41,H41="Host",0),"")</f>
        <v/>
      </c>
      <c r="M41" s="29" t="str" cm="1">
        <f t="array" ref="M41">IFERROR(_xlfn.IFS(HLOOKUP(G41,TuesHostTable,2)=0,0,OR(H41="Server",H41="Bartender"),-F41*HostTipPercentage,H41="Host",HLOOKUP(G41,TuesHostTable,5)*B41,OR(H41="Expo",H41="Food Runner"),0),"")</f>
        <v/>
      </c>
      <c r="N41" s="61"/>
      <c r="O41" s="62"/>
      <c r="P41" s="61"/>
      <c r="Q41" s="61"/>
      <c r="R41" s="61"/>
      <c r="S41" s="42">
        <f t="shared" si="221"/>
        <v>0</v>
      </c>
      <c r="T41" s="61"/>
      <c r="U41" s="61"/>
      <c r="V41" s="42">
        <f t="shared" ref="V41" si="322">IF(U41="Bartender",(HLOOKUP(T41,ThursFoodTable,6)*O41)+(HLOOKUP(T41,ThursHostTable,6)*O41)+X41,SUM(X41,Y41,Z41))</f>
        <v>0</v>
      </c>
      <c r="W41" s="42">
        <f t="shared" ref="W41" si="323">IFERROR(IF(U41="Bartender",(HLOOKUP(T41,ThursBarTable,6)*O41)+V41,P41+V41),"")</f>
        <v>0</v>
      </c>
      <c r="X41" s="29">
        <f t="shared" ref="X41" si="324">IF(U41="Server",-R41*AlcoholTipPercentage,0)+IF(U41="Bartender",HLOOKUP(T41,ThursBarTable,5)*O41)</f>
        <v>0</v>
      </c>
      <c r="Y41" s="29" t="str" cm="1">
        <f t="array" ref="Y41">IFERROR(_xlfn.IFS(HLOOKUP(T41,ThursFoodTable,2)=0,0,OR(U41="Server",U41="Bartender"),-Q41*FoodTipPercentage,OR(U41="Expo",U41="Food Runner"),HLOOKUP(T41,ThursFoodTable,5)*O41,U41="Host",0),"")</f>
        <v/>
      </c>
      <c r="Z41" s="29" t="str" cm="1">
        <f t="array" ref="Z41">IFERROR(_xlfn.IFS(HLOOKUP(T41,ThursHostTable,2)=0,0,OR(U41="Server",U41="Bartender"),-S41*HostTipPercentage,U41="Host",HLOOKUP(T41,ThursHostTable,5)*O41,OR(U41="Expo",U41="Food Runner"),0),"")</f>
        <v/>
      </c>
      <c r="AA41" s="55"/>
      <c r="AB41" s="56"/>
      <c r="AC41" s="55"/>
      <c r="AD41" s="55"/>
      <c r="AE41" s="55"/>
      <c r="AF41" s="38">
        <f t="shared" si="225"/>
        <v>0</v>
      </c>
      <c r="AG41" s="55"/>
      <c r="AH41" s="55"/>
      <c r="AI41" s="38">
        <f t="shared" ref="AI41" si="325">IF(AH41="Bartender",(HLOOKUP(AG41,SatFoodTable,6)*AB41)+(HLOOKUP(AG41,SatHostTable,6)*AB41)+AK41,SUM(AK41,AL41,AM41))</f>
        <v>0</v>
      </c>
      <c r="AJ41" s="38">
        <f t="shared" ref="AJ41" si="326">IFERROR(IF(AH41="Bartender",(HLOOKUP(AG41,SatBarTable,6)*AB41)+AI41,AC41+AI41),"")</f>
        <v>0</v>
      </c>
      <c r="AK41" s="29">
        <f t="shared" ref="AK41" si="327">IF(AH41="Server",-AE41*AlcoholTipPercentage,0)+IF(AH41="Bartender",HLOOKUP(AG41,SatBarTable,5)*AB41)</f>
        <v>0</v>
      </c>
      <c r="AL41" s="29" t="str" cm="1">
        <f t="array" ref="AL41">IFERROR(_xlfn.IFS(HLOOKUP(AG41,SatFoodTable,2)=0,0,OR(AH41="Server",AH41="Bartender"),-AD41*FoodTipPercentage,OR(AH41="Expo",AH41="Food Runner"),HLOOKUP(AG41,SatFoodTable,5)*AB41,AH41="Host",0),"")</f>
        <v/>
      </c>
      <c r="AM41" s="29" t="str" cm="1">
        <f t="array" ref="AM41">IFERROR(_xlfn.IFS(HLOOKUP(AG41,SatHostTable,2)=0,0,OR(AH41="Server",AH41="Bartender"),-AF41*HostTipPercentage,AH41="Host",HLOOKUP(AG41,SatHostTable,5)*AB41,OR(AH41="Expo",AH41="Food Runner"),0),"")</f>
        <v/>
      </c>
      <c r="AN41" s="63"/>
      <c r="AO41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1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1" s="29">
        <f>IFERROR(Table42478910111213141821232527232527[[#This Row],[Weekly Tips]]/Table42478910111213141821232527232527[[#This Row],[Hours]],0)</f>
        <v>0</v>
      </c>
      <c r="AR41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1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1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2" spans="1:47" ht="16" x14ac:dyDescent="0.2">
      <c r="A42" s="59"/>
      <c r="B42" s="60"/>
      <c r="C42" s="59"/>
      <c r="D42" s="59"/>
      <c r="E42" s="59"/>
      <c r="F42" s="37">
        <f t="shared" si="217"/>
        <v>0</v>
      </c>
      <c r="G42" s="59"/>
      <c r="H42" s="59"/>
      <c r="I42" s="37">
        <f t="shared" ref="I42" si="328">IF(H42="Bartender",(HLOOKUP(G42,TuesFoodTable,6)*B42)+(HLOOKUP(G42,TuesHostTable,6)*B42)+K42,SUM(K42,L42,M42))</f>
        <v>0</v>
      </c>
      <c r="J42" s="37">
        <f t="shared" ref="J42" si="329">IFERROR(IF(H42="Bartender",(HLOOKUP(G42,TuesBarTable,6)*B42)+I42,C42+I42),"")</f>
        <v>0</v>
      </c>
      <c r="K42" s="29">
        <f t="shared" ref="K42" si="330">IF(H42="Server",-E42*AlcoholTipPercentage,0)+IF(H42="Bartender",HLOOKUP(G42,TuesBarTable,5)*B42)</f>
        <v>0</v>
      </c>
      <c r="L42" s="29" t="str" cm="1">
        <f t="array" ref="L42">IFERROR(_xlfn.IFS(HLOOKUP(G42,TuesFoodTable,2)=0,0,OR(H42="Server",H42="Bartender"),-D42*FoodTipPercentage,OR(H42="Expo",H42="Food Runner"),HLOOKUP(G42,TuesFoodTable,5)*B42,H42="Host",0),"")</f>
        <v/>
      </c>
      <c r="M42" s="29" t="str" cm="1">
        <f t="array" ref="M42">IFERROR(_xlfn.IFS(HLOOKUP(G42,TuesHostTable,2)=0,0,OR(H42="Server",H42="Bartender"),-F42*HostTipPercentage,H42="Host",HLOOKUP(G42,TuesHostTable,5)*B42,OR(H42="Expo",H42="Food Runner"),0),"")</f>
        <v/>
      </c>
      <c r="N42" s="61"/>
      <c r="O42" s="62"/>
      <c r="P42" s="61"/>
      <c r="Q42" s="61"/>
      <c r="R42" s="61"/>
      <c r="S42" s="42">
        <f t="shared" si="221"/>
        <v>0</v>
      </c>
      <c r="T42" s="61"/>
      <c r="U42" s="61"/>
      <c r="V42" s="42">
        <f t="shared" ref="V42" si="331">IF(U42="Bartender",(HLOOKUP(T42,ThursFoodTable,6)*O42)+(HLOOKUP(T42,ThursHostTable,6)*O42)+X42,SUM(X42,Y42,Z42))</f>
        <v>0</v>
      </c>
      <c r="W42" s="42">
        <f t="shared" ref="W42" si="332">IFERROR(IF(U42="Bartender",(HLOOKUP(T42,ThursBarTable,6)*O42)+V42,P42+V42),"")</f>
        <v>0</v>
      </c>
      <c r="X42" s="29">
        <f t="shared" ref="X42" si="333">IF(U42="Server",-R42*AlcoholTipPercentage,0)+IF(U42="Bartender",HLOOKUP(T42,ThursBarTable,5)*O42)</f>
        <v>0</v>
      </c>
      <c r="Y42" s="29" t="str" cm="1">
        <f t="array" ref="Y42">IFERROR(_xlfn.IFS(HLOOKUP(T42,ThursFoodTable,2)=0,0,OR(U42="Server",U42="Bartender"),-Q42*FoodTipPercentage,OR(U42="Expo",U42="Food Runner"),HLOOKUP(T42,ThursFoodTable,5)*O42,U42="Host",0),"")</f>
        <v/>
      </c>
      <c r="Z42" s="29" t="str" cm="1">
        <f t="array" ref="Z42">IFERROR(_xlfn.IFS(HLOOKUP(T42,ThursHostTable,2)=0,0,OR(U42="Server",U42="Bartender"),-S42*HostTipPercentage,U42="Host",HLOOKUP(T42,ThursHostTable,5)*O42,OR(U42="Expo",U42="Food Runner"),0),"")</f>
        <v/>
      </c>
      <c r="AA42" s="55"/>
      <c r="AB42" s="56"/>
      <c r="AC42" s="55"/>
      <c r="AD42" s="55"/>
      <c r="AE42" s="55"/>
      <c r="AF42" s="38">
        <f t="shared" si="225"/>
        <v>0</v>
      </c>
      <c r="AG42" s="55"/>
      <c r="AH42" s="55"/>
      <c r="AI42" s="38">
        <f t="shared" ref="AI42" si="334">IF(AH42="Bartender",(HLOOKUP(AG42,SatFoodTable,6)*AB42)+(HLOOKUP(AG42,SatHostTable,6)*AB42)+AK42,SUM(AK42,AL42,AM42))</f>
        <v>0</v>
      </c>
      <c r="AJ42" s="38">
        <f t="shared" ref="AJ42" si="335">IFERROR(IF(AH42="Bartender",(HLOOKUP(AG42,SatBarTable,6)*AB42)+AI42,AC42+AI42),"")</f>
        <v>0</v>
      </c>
      <c r="AK42" s="29">
        <f t="shared" ref="AK42" si="336">IF(AH42="Server",-AE42*AlcoholTipPercentage,0)+IF(AH42="Bartender",HLOOKUP(AG42,SatBarTable,5)*AB42)</f>
        <v>0</v>
      </c>
      <c r="AL42" s="29" t="str" cm="1">
        <f t="array" ref="AL42">IFERROR(_xlfn.IFS(HLOOKUP(AG42,SatFoodTable,2)=0,0,OR(AH42="Server",AH42="Bartender"),-AD42*FoodTipPercentage,OR(AH42="Expo",AH42="Food Runner"),HLOOKUP(AG42,SatFoodTable,5)*AB42,AH42="Host",0),"")</f>
        <v/>
      </c>
      <c r="AM42" s="29" t="str" cm="1">
        <f t="array" ref="AM42">IFERROR(_xlfn.IFS(HLOOKUP(AG42,SatHostTable,2)=0,0,OR(AH42="Server",AH42="Bartender"),-AF42*HostTipPercentage,AH42="Host",HLOOKUP(AG42,SatHostTable,5)*AB42,OR(AH42="Expo",AH42="Food Runner"),0),"")</f>
        <v/>
      </c>
      <c r="AN42" s="63"/>
      <c r="AO42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2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2" s="29">
        <f>IFERROR(Table42478910111213141821232527232527[[#This Row],[Weekly Tips]]/Table42478910111213141821232527232527[[#This Row],[Hours]],0)</f>
        <v>0</v>
      </c>
      <c r="AR42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2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2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3" spans="1:47" ht="16" x14ac:dyDescent="0.2">
      <c r="A43" s="59"/>
      <c r="B43" s="60"/>
      <c r="C43" s="59"/>
      <c r="D43" s="59"/>
      <c r="E43" s="59"/>
      <c r="F43" s="37">
        <f t="shared" si="217"/>
        <v>0</v>
      </c>
      <c r="G43" s="59"/>
      <c r="H43" s="59"/>
      <c r="I43" s="37">
        <f t="shared" ref="I43" si="337">IF(H43="Bartender",(HLOOKUP(G43,TuesFoodTable,6)*B43)+(HLOOKUP(G43,TuesHostTable,6)*B43)+K43,SUM(K43,L43,M43))</f>
        <v>0</v>
      </c>
      <c r="J43" s="37">
        <f t="shared" ref="J43" si="338">IFERROR(IF(H43="Bartender",(HLOOKUP(G43,TuesBarTable,6)*B43)+I43,C43+I43),"")</f>
        <v>0</v>
      </c>
      <c r="K43" s="29">
        <f t="shared" ref="K43" si="339">IF(H43="Server",-E43*AlcoholTipPercentage,0)+IF(H43="Bartender",HLOOKUP(G43,TuesBarTable,5)*B43)</f>
        <v>0</v>
      </c>
      <c r="L43" s="29" t="str" cm="1">
        <f t="array" ref="L43">IFERROR(_xlfn.IFS(HLOOKUP(G43,TuesFoodTable,2)=0,0,OR(H43="Server",H43="Bartender"),-D43*FoodTipPercentage,OR(H43="Expo",H43="Food Runner"),HLOOKUP(G43,TuesFoodTable,5)*B43,H43="Host",0),"")</f>
        <v/>
      </c>
      <c r="M43" s="29" t="str" cm="1">
        <f t="array" ref="M43">IFERROR(_xlfn.IFS(HLOOKUP(G43,TuesHostTable,2)=0,0,OR(H43="Server",H43="Bartender"),-F43*HostTipPercentage,H43="Host",HLOOKUP(G43,TuesHostTable,5)*B43,OR(H43="Expo",H43="Food Runner"),0),"")</f>
        <v/>
      </c>
      <c r="N43" s="61"/>
      <c r="O43" s="62"/>
      <c r="P43" s="61"/>
      <c r="Q43" s="61"/>
      <c r="R43" s="61"/>
      <c r="S43" s="42">
        <f t="shared" si="221"/>
        <v>0</v>
      </c>
      <c r="T43" s="61"/>
      <c r="U43" s="61"/>
      <c r="V43" s="42">
        <f t="shared" ref="V43" si="340">IF(U43="Bartender",(HLOOKUP(T43,ThursFoodTable,6)*O43)+(HLOOKUP(T43,ThursHostTable,6)*O43)+X43,SUM(X43,Y43,Z43))</f>
        <v>0</v>
      </c>
      <c r="W43" s="42">
        <f t="shared" ref="W43" si="341">IFERROR(IF(U43="Bartender",(HLOOKUP(T43,ThursBarTable,6)*O43)+V43,P43+V43),"")</f>
        <v>0</v>
      </c>
      <c r="X43" s="29">
        <f t="shared" ref="X43" si="342">IF(U43="Server",-R43*AlcoholTipPercentage,0)+IF(U43="Bartender",HLOOKUP(T43,ThursBarTable,5)*O43)</f>
        <v>0</v>
      </c>
      <c r="Y43" s="29" t="str" cm="1">
        <f t="array" ref="Y43">IFERROR(_xlfn.IFS(HLOOKUP(T43,ThursFoodTable,2)=0,0,OR(U43="Server",U43="Bartender"),-Q43*FoodTipPercentage,OR(U43="Expo",U43="Food Runner"),HLOOKUP(T43,ThursFoodTable,5)*O43,U43="Host",0),"")</f>
        <v/>
      </c>
      <c r="Z43" s="29" t="str" cm="1">
        <f t="array" ref="Z43">IFERROR(_xlfn.IFS(HLOOKUP(T43,ThursHostTable,2)=0,0,OR(U43="Server",U43="Bartender"),-S43*HostTipPercentage,U43="Host",HLOOKUP(T43,ThursHostTable,5)*O43,OR(U43="Expo",U43="Food Runner"),0),"")</f>
        <v/>
      </c>
      <c r="AA43" s="55"/>
      <c r="AB43" s="56"/>
      <c r="AC43" s="55"/>
      <c r="AD43" s="55"/>
      <c r="AE43" s="55"/>
      <c r="AF43" s="38">
        <f t="shared" si="225"/>
        <v>0</v>
      </c>
      <c r="AG43" s="55"/>
      <c r="AH43" s="55"/>
      <c r="AI43" s="38">
        <f t="shared" ref="AI43" si="343">IF(AH43="Bartender",(HLOOKUP(AG43,SatFoodTable,6)*AB43)+(HLOOKUP(AG43,SatHostTable,6)*AB43)+AK43,SUM(AK43,AL43,AM43))</f>
        <v>0</v>
      </c>
      <c r="AJ43" s="38">
        <f t="shared" ref="AJ43" si="344">IFERROR(IF(AH43="Bartender",(HLOOKUP(AG43,SatBarTable,6)*AB43)+AI43,AC43+AI43),"")</f>
        <v>0</v>
      </c>
      <c r="AK43" s="29">
        <f t="shared" ref="AK43" si="345">IF(AH43="Server",-AE43*AlcoholTipPercentage,0)+IF(AH43="Bartender",HLOOKUP(AG43,SatBarTable,5)*AB43)</f>
        <v>0</v>
      </c>
      <c r="AL43" s="29" t="str" cm="1">
        <f t="array" ref="AL43">IFERROR(_xlfn.IFS(HLOOKUP(AG43,SatFoodTable,2)=0,0,OR(AH43="Server",AH43="Bartender"),-AD43*FoodTipPercentage,OR(AH43="Expo",AH43="Food Runner"),HLOOKUP(AG43,SatFoodTable,5)*AB43,AH43="Host",0),"")</f>
        <v/>
      </c>
      <c r="AM43" s="29" t="str" cm="1">
        <f t="array" ref="AM43">IFERROR(_xlfn.IFS(HLOOKUP(AG43,SatHostTable,2)=0,0,OR(AH43="Server",AH43="Bartender"),-AF43*HostTipPercentage,AH43="Host",HLOOKUP(AG43,SatHostTable,5)*AB43,OR(AH43="Expo",AH43="Food Runner"),0),"")</f>
        <v/>
      </c>
      <c r="AN43" s="63"/>
      <c r="AO43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3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3" s="29">
        <f>IFERROR(Table42478910111213141821232527232527[[#This Row],[Weekly Tips]]/Table42478910111213141821232527232527[[#This Row],[Hours]],0)</f>
        <v>0</v>
      </c>
      <c r="AR43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3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3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4" spans="1:47" ht="16" x14ac:dyDescent="0.2">
      <c r="A44" s="59"/>
      <c r="B44" s="60"/>
      <c r="C44" s="59"/>
      <c r="D44" s="59"/>
      <c r="E44" s="59"/>
      <c r="F44" s="37">
        <f t="shared" si="217"/>
        <v>0</v>
      </c>
      <c r="G44" s="59"/>
      <c r="H44" s="59"/>
      <c r="I44" s="37">
        <f t="shared" ref="I44" si="346">IF(H44="Bartender",(HLOOKUP(G44,TuesFoodTable,6)*B44)+(HLOOKUP(G44,TuesHostTable,6)*B44)+K44,SUM(K44,L44,M44))</f>
        <v>0</v>
      </c>
      <c r="J44" s="37">
        <f t="shared" ref="J44" si="347">IFERROR(IF(H44="Bartender",(HLOOKUP(G44,TuesBarTable,6)*B44)+I44,C44+I44),"")</f>
        <v>0</v>
      </c>
      <c r="K44" s="29">
        <f t="shared" ref="K44" si="348">IF(H44="Server",-E44*AlcoholTipPercentage,0)+IF(H44="Bartender",HLOOKUP(G44,TuesBarTable,5)*B44)</f>
        <v>0</v>
      </c>
      <c r="L44" s="29" t="str" cm="1">
        <f t="array" ref="L44">IFERROR(_xlfn.IFS(HLOOKUP(G44,TuesFoodTable,2)=0,0,OR(H44="Server",H44="Bartender"),-D44*FoodTipPercentage,OR(H44="Expo",H44="Food Runner"),HLOOKUP(G44,TuesFoodTable,5)*B44,H44="Host",0),"")</f>
        <v/>
      </c>
      <c r="M44" s="29" t="str" cm="1">
        <f t="array" ref="M44">IFERROR(_xlfn.IFS(HLOOKUP(G44,TuesHostTable,2)=0,0,OR(H44="Server",H44="Bartender"),-F44*HostTipPercentage,H44="Host",HLOOKUP(G44,TuesHostTable,5)*B44,OR(H44="Expo",H44="Food Runner"),0),"")</f>
        <v/>
      </c>
      <c r="N44" s="61"/>
      <c r="O44" s="62"/>
      <c r="P44" s="61"/>
      <c r="Q44" s="61"/>
      <c r="R44" s="61"/>
      <c r="S44" s="42">
        <f t="shared" si="221"/>
        <v>0</v>
      </c>
      <c r="T44" s="61"/>
      <c r="U44" s="61"/>
      <c r="V44" s="42">
        <f t="shared" ref="V44" si="349">IF(U44="Bartender",(HLOOKUP(T44,ThursFoodTable,6)*O44)+(HLOOKUP(T44,ThursHostTable,6)*O44)+X44,SUM(X44,Y44,Z44))</f>
        <v>0</v>
      </c>
      <c r="W44" s="42">
        <f t="shared" ref="W44" si="350">IFERROR(IF(U44="Bartender",(HLOOKUP(T44,ThursBarTable,6)*O44)+V44,P44+V44),"")</f>
        <v>0</v>
      </c>
      <c r="X44" s="29">
        <f t="shared" ref="X44" si="351">IF(U44="Server",-R44*AlcoholTipPercentage,0)+IF(U44="Bartender",HLOOKUP(T44,ThursBarTable,5)*O44)</f>
        <v>0</v>
      </c>
      <c r="Y44" s="29" t="str" cm="1">
        <f t="array" ref="Y44">IFERROR(_xlfn.IFS(HLOOKUP(T44,ThursFoodTable,2)=0,0,OR(U44="Server",U44="Bartender"),-Q44*FoodTipPercentage,OR(U44="Expo",U44="Food Runner"),HLOOKUP(T44,ThursFoodTable,5)*O44,U44="Host",0),"")</f>
        <v/>
      </c>
      <c r="Z44" s="29" t="str" cm="1">
        <f t="array" ref="Z44">IFERROR(_xlfn.IFS(HLOOKUP(T44,ThursHostTable,2)=0,0,OR(U44="Server",U44="Bartender"),-S44*HostTipPercentage,U44="Host",HLOOKUP(T44,ThursHostTable,5)*O44,OR(U44="Expo",U44="Food Runner"),0),"")</f>
        <v/>
      </c>
      <c r="AA44" s="55"/>
      <c r="AB44" s="56"/>
      <c r="AC44" s="55"/>
      <c r="AD44" s="55"/>
      <c r="AE44" s="55"/>
      <c r="AF44" s="38">
        <f t="shared" si="225"/>
        <v>0</v>
      </c>
      <c r="AG44" s="55"/>
      <c r="AH44" s="55"/>
      <c r="AI44" s="38">
        <f t="shared" ref="AI44" si="352">IF(AH44="Bartender",(HLOOKUP(AG44,SatFoodTable,6)*AB44)+(HLOOKUP(AG44,SatHostTable,6)*AB44)+AK44,SUM(AK44,AL44,AM44))</f>
        <v>0</v>
      </c>
      <c r="AJ44" s="38">
        <f t="shared" ref="AJ44" si="353">IFERROR(IF(AH44="Bartender",(HLOOKUP(AG44,SatBarTable,6)*AB44)+AI44,AC44+AI44),"")</f>
        <v>0</v>
      </c>
      <c r="AK44" s="29">
        <f t="shared" ref="AK44" si="354">IF(AH44="Server",-AE44*AlcoholTipPercentage,0)+IF(AH44="Bartender",HLOOKUP(AG44,SatBarTable,5)*AB44)</f>
        <v>0</v>
      </c>
      <c r="AL44" s="29" t="str" cm="1">
        <f t="array" ref="AL44">IFERROR(_xlfn.IFS(HLOOKUP(AG44,SatFoodTable,2)=0,0,OR(AH44="Server",AH44="Bartender"),-AD44*FoodTipPercentage,OR(AH44="Expo",AH44="Food Runner"),HLOOKUP(AG44,SatFoodTable,5)*AB44,AH44="Host",0),"")</f>
        <v/>
      </c>
      <c r="AM44" s="29" t="str" cm="1">
        <f t="array" ref="AM44">IFERROR(_xlfn.IFS(HLOOKUP(AG44,SatHostTable,2)=0,0,OR(AH44="Server",AH44="Bartender"),-AF44*HostTipPercentage,AH44="Host",HLOOKUP(AG44,SatHostTable,5)*AB44,OR(AH44="Expo",AH44="Food Runner"),0),"")</f>
        <v/>
      </c>
      <c r="AN44" s="63"/>
      <c r="AO44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4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4" s="29">
        <f>IFERROR(Table42478910111213141821232527232527[[#This Row],[Weekly Tips]]/Table42478910111213141821232527232527[[#This Row],[Hours]],0)</f>
        <v>0</v>
      </c>
      <c r="AR44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4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4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5" spans="1:47" ht="16" x14ac:dyDescent="0.2">
      <c r="A45" s="59"/>
      <c r="B45" s="60"/>
      <c r="C45" s="59"/>
      <c r="D45" s="59"/>
      <c r="E45" s="59"/>
      <c r="F45" s="37">
        <f t="shared" si="217"/>
        <v>0</v>
      </c>
      <c r="G45" s="59"/>
      <c r="H45" s="59"/>
      <c r="I45" s="37">
        <f t="shared" ref="I45" si="355">IF(H45="Bartender",(HLOOKUP(G45,TuesFoodTable,6)*B45)+(HLOOKUP(G45,TuesHostTable,6)*B45)+K45,SUM(K45,L45,M45))</f>
        <v>0</v>
      </c>
      <c r="J45" s="37">
        <f t="shared" ref="J45" si="356">IFERROR(IF(H45="Bartender",(HLOOKUP(G45,TuesBarTable,6)*B45)+I45,C45+I45),"")</f>
        <v>0</v>
      </c>
      <c r="K45" s="29">
        <f t="shared" ref="K45" si="357">IF(H45="Server",-E45*AlcoholTipPercentage,0)+IF(H45="Bartender",HLOOKUP(G45,TuesBarTable,5)*B45)</f>
        <v>0</v>
      </c>
      <c r="L45" s="29" t="str" cm="1">
        <f t="array" ref="L45">IFERROR(_xlfn.IFS(HLOOKUP(G45,TuesFoodTable,2)=0,0,OR(H45="Server",H45="Bartender"),-D45*FoodTipPercentage,OR(H45="Expo",H45="Food Runner"),HLOOKUP(G45,TuesFoodTable,5)*B45,H45="Host",0),"")</f>
        <v/>
      </c>
      <c r="M45" s="29" t="str" cm="1">
        <f t="array" ref="M45">IFERROR(_xlfn.IFS(HLOOKUP(G45,TuesHostTable,2)=0,0,OR(H45="Server",H45="Bartender"),-F45*HostTipPercentage,H45="Host",HLOOKUP(G45,TuesHostTable,5)*B45,OR(H45="Expo",H45="Food Runner"),0),"")</f>
        <v/>
      </c>
      <c r="N45" s="61"/>
      <c r="O45" s="62"/>
      <c r="P45" s="61"/>
      <c r="Q45" s="61"/>
      <c r="R45" s="61"/>
      <c r="S45" s="42">
        <f t="shared" si="221"/>
        <v>0</v>
      </c>
      <c r="T45" s="61"/>
      <c r="U45" s="61"/>
      <c r="V45" s="42">
        <f t="shared" ref="V45" si="358">IF(U45="Bartender",(HLOOKUP(T45,ThursFoodTable,6)*O45)+(HLOOKUP(T45,ThursHostTable,6)*O45)+X45,SUM(X45,Y45,Z45))</f>
        <v>0</v>
      </c>
      <c r="W45" s="42">
        <f t="shared" ref="W45" si="359">IFERROR(IF(U45="Bartender",(HLOOKUP(T45,ThursBarTable,6)*O45)+V45,P45+V45),"")</f>
        <v>0</v>
      </c>
      <c r="X45" s="29">
        <f t="shared" ref="X45" si="360">IF(U45="Server",-R45*AlcoholTipPercentage,0)+IF(U45="Bartender",HLOOKUP(T45,ThursBarTable,5)*O45)</f>
        <v>0</v>
      </c>
      <c r="Y45" s="29" t="str" cm="1">
        <f t="array" ref="Y45">IFERROR(_xlfn.IFS(HLOOKUP(T45,ThursFoodTable,2)=0,0,OR(U45="Server",U45="Bartender"),-Q45*FoodTipPercentage,OR(U45="Expo",U45="Food Runner"),HLOOKUP(T45,ThursFoodTable,5)*O45,U45="Host",0),"")</f>
        <v/>
      </c>
      <c r="Z45" s="29" t="str" cm="1">
        <f t="array" ref="Z45">IFERROR(_xlfn.IFS(HLOOKUP(T45,ThursHostTable,2)=0,0,OR(U45="Server",U45="Bartender"),-S45*HostTipPercentage,U45="Host",HLOOKUP(T45,ThursHostTable,5)*O45,OR(U45="Expo",U45="Food Runner"),0),"")</f>
        <v/>
      </c>
      <c r="AA45" s="55"/>
      <c r="AB45" s="56"/>
      <c r="AC45" s="55"/>
      <c r="AD45" s="55"/>
      <c r="AE45" s="55"/>
      <c r="AF45" s="38">
        <f t="shared" si="225"/>
        <v>0</v>
      </c>
      <c r="AG45" s="55"/>
      <c r="AH45" s="55"/>
      <c r="AI45" s="38">
        <f t="shared" ref="AI45" si="361">IF(AH45="Bartender",(HLOOKUP(AG45,SatFoodTable,6)*AB45)+(HLOOKUP(AG45,SatHostTable,6)*AB45)+AK45,SUM(AK45,AL45,AM45))</f>
        <v>0</v>
      </c>
      <c r="AJ45" s="38">
        <f t="shared" ref="AJ45" si="362">IFERROR(IF(AH45="Bartender",(HLOOKUP(AG45,SatBarTable,6)*AB45)+AI45,AC45+AI45),"")</f>
        <v>0</v>
      </c>
      <c r="AK45" s="29">
        <f t="shared" ref="AK45" si="363">IF(AH45="Server",-AE45*AlcoholTipPercentage,0)+IF(AH45="Bartender",HLOOKUP(AG45,SatBarTable,5)*AB45)</f>
        <v>0</v>
      </c>
      <c r="AL45" s="29" t="str" cm="1">
        <f t="array" ref="AL45">IFERROR(_xlfn.IFS(HLOOKUP(AG45,SatFoodTable,2)=0,0,OR(AH45="Server",AH45="Bartender"),-AD45*FoodTipPercentage,OR(AH45="Expo",AH45="Food Runner"),HLOOKUP(AG45,SatFoodTable,5)*AB45,AH45="Host",0),"")</f>
        <v/>
      </c>
      <c r="AM45" s="29" t="str" cm="1">
        <f t="array" ref="AM45">IFERROR(_xlfn.IFS(HLOOKUP(AG45,SatHostTable,2)=0,0,OR(AH45="Server",AH45="Bartender"),-AF45*HostTipPercentage,AH45="Host",HLOOKUP(AG45,SatHostTable,5)*AB45,OR(AH45="Expo",AH45="Food Runner"),0),"")</f>
        <v/>
      </c>
      <c r="AN45" s="63"/>
      <c r="AO45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5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5" s="29">
        <f>IFERROR(Table42478910111213141821232527232527[[#This Row],[Weekly Tips]]/Table42478910111213141821232527232527[[#This Row],[Hours]],0)</f>
        <v>0</v>
      </c>
      <c r="AR45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5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5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6" spans="1:47" ht="16" x14ac:dyDescent="0.2">
      <c r="AK46" s="29">
        <f>SUM(AK29:AK45)</f>
        <v>0</v>
      </c>
      <c r="AL46" s="29">
        <f>SUM(AL29:AL45)</f>
        <v>0</v>
      </c>
      <c r="AM46" s="29">
        <f>SUM(AM29:AM45)</f>
        <v>0</v>
      </c>
      <c r="AN46" s="63"/>
      <c r="AO46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6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6" s="29">
        <f>IFERROR(Table42478910111213141821232527232527[[#This Row],[Weekly Tips]]/Table42478910111213141821232527232527[[#This Row],[Hours]],0)</f>
        <v>0</v>
      </c>
      <c r="AR46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6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6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7" spans="1:47" ht="16" x14ac:dyDescent="0.2">
      <c r="AN47" s="63"/>
      <c r="AO47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7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7" s="29">
        <f>IFERROR(Table42478910111213141821232527232527[[#This Row],[Weekly Tips]]/Table42478910111213141821232527232527[[#This Row],[Hours]],0)</f>
        <v>0</v>
      </c>
      <c r="AR47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7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7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8" spans="1:47" ht="16" x14ac:dyDescent="0.2">
      <c r="AN48" s="63"/>
      <c r="AO48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8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8" s="29">
        <f>IFERROR(Table42478910111213141821232527232527[[#This Row],[Weekly Tips]]/Table42478910111213141821232527232527[[#This Row],[Hours]],0)</f>
        <v>0</v>
      </c>
      <c r="AR48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8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8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49" spans="1:47" ht="16" x14ac:dyDescent="0.2">
      <c r="AN49" s="63"/>
      <c r="AO49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49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49" s="29">
        <f>IFERROR(Table42478910111213141821232527232527[[#This Row],[Weekly Tips]]/Table42478910111213141821232527232527[[#This Row],[Hours]],0)</f>
        <v>0</v>
      </c>
      <c r="AR49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49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49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0" spans="1:47" ht="16" x14ac:dyDescent="0.2">
      <c r="AN50" s="63"/>
      <c r="AO50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0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0" s="29">
        <f>IFERROR(Table42478910111213141821232527232527[[#This Row],[Weekly Tips]]/Table42478910111213141821232527232527[[#This Row],[Hours]],0)</f>
        <v>0</v>
      </c>
      <c r="AR50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0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0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1" spans="1:47" ht="16" x14ac:dyDescent="0.2">
      <c r="AN51" s="63"/>
      <c r="AO51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1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1" s="29">
        <f>IFERROR(Table42478910111213141821232527232527[[#This Row],[Weekly Tips]]/Table42478910111213141821232527232527[[#This Row],[Hours]],0)</f>
        <v>0</v>
      </c>
      <c r="AR51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1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1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2" spans="1:47" ht="16" x14ac:dyDescent="0.2">
      <c r="AN52" s="63"/>
      <c r="AO52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2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2" s="29">
        <f>IFERROR(Table42478910111213141821232527232527[[#This Row],[Weekly Tips]]/Table42478910111213141821232527232527[[#This Row],[Hours]],0)</f>
        <v>0</v>
      </c>
      <c r="AR52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2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2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3" spans="1:47" ht="16" x14ac:dyDescent="0.2">
      <c r="AN53" s="63"/>
      <c r="AO53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3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3" s="29">
        <f>IFERROR(Table42478910111213141821232527232527[[#This Row],[Weekly Tips]]/Table42478910111213141821232527232527[[#This Row],[Hours]],0)</f>
        <v>0</v>
      </c>
      <c r="AR53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3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3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4" spans="1:47" ht="16" x14ac:dyDescent="0.2">
      <c r="AN54" s="63"/>
      <c r="AO54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4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4" s="29">
        <f>IFERROR(Table42478910111213141821232527232527[[#This Row],[Weekly Tips]]/Table42478910111213141821232527232527[[#This Row],[Hours]],0)</f>
        <v>0</v>
      </c>
      <c r="AR54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4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4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5" spans="1:47" ht="16" x14ac:dyDescent="0.2">
      <c r="AN55" s="63"/>
      <c r="AO55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5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5" s="29">
        <f>IFERROR(Table42478910111213141821232527232527[[#This Row],[Weekly Tips]]/Table42478910111213141821232527232527[[#This Row],[Hours]],0)</f>
        <v>0</v>
      </c>
      <c r="AR55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5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5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6" spans="1:47" ht="16" x14ac:dyDescent="0.2">
      <c r="AN56" s="63"/>
      <c r="AO56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6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6" s="29">
        <f>IFERROR(Table42478910111213141821232527232527[[#This Row],[Weekly Tips]]/Table42478910111213141821232527232527[[#This Row],[Hours]],0)</f>
        <v>0</v>
      </c>
      <c r="AR56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6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6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7" spans="1:47" ht="16" x14ac:dyDescent="0.2">
      <c r="AN57" s="63"/>
      <c r="AO57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7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7" s="29">
        <f>IFERROR(Table42478910111213141821232527232527[[#This Row],[Weekly Tips]]/Table42478910111213141821232527232527[[#This Row],[Hours]],0)</f>
        <v>0</v>
      </c>
      <c r="AR57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7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7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8" spans="1:47" ht="16" x14ac:dyDescent="0.2">
      <c r="AN58" s="63"/>
      <c r="AO58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8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8" s="29">
        <f>IFERROR(Table42478910111213141821232527232527[[#This Row],[Weekly Tips]]/Table42478910111213141821232527232527[[#This Row],[Hours]],0)</f>
        <v>0</v>
      </c>
      <c r="AR58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8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8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59" spans="1:47" ht="15" customHeight="1" x14ac:dyDescent="0.2">
      <c r="AN59" s="63"/>
      <c r="AO59" s="45">
        <f>IFERROR(SUMIF(SunNames,Table42478910111213141821232527232527[[#This Row],[Name]],SunHours)+SUMIF(MonNames,Table42478910111213141821232527232527[[#This Row],[Name]],MonHours)+SUMIF(TuesNames,Table42478910111213141821232527232527[[#This Row],[Name]],TuesHours)+SUMIF(WedNames,Table42478910111213141821232527232527[[#This Row],[Name]],WedHours)+SUMIF(ThursNames,Table42478910111213141821232527232527[[#This Row],[Name]],ThursHours)+SUMIF(FriNames,Table42478910111213141821232527232527[[#This Row],[Name]],FriHours)+SUMIF(SatNames,Table42478910111213141821232527232527[[#This Row],[Name]],SatHours),"")</f>
        <v>0</v>
      </c>
      <c r="AP59" s="46">
        <f>SUMIF(SunNames,Table42478910111213141821232527232527[[#This Row],[Name]],SunTakeHome)+SUMIF(MonNames,Table42478910111213141821232527232527[[#This Row],[Name]],MonTakeHome)+SUMIF(TuesNames,Table42478910111213141821232527232527[[#This Row],[Name]],TuesTakeHome)+SUMIF(WedNames,Table42478910111213141821232527232527[[#This Row],[Name]],WedTakeHome)+SUMIF(ThursNames,Table42478910111213141821232527232527[[#This Row],[Name]],ThursTakeHome)+SUMIF(FriNames,Table42478910111213141821232527232527[[#This Row],[Name]],FriTakeHome)+SUMIF(SatNames,Table42478910111213141821232527232527[[#This Row],[Name]],SatTakeHome)</f>
        <v>0</v>
      </c>
      <c r="AQ59" s="29">
        <f>IFERROR(Table42478910111213141821232527232527[[#This Row],[Weekly Tips]]/Table42478910111213141821232527232527[[#This Row],[Hours]],0)</f>
        <v>0</v>
      </c>
      <c r="AR59" s="29">
        <f>SUMIF(SunNames,Table42478910111213141821232527232527[[#This Row],[Name]],SunFood)+SUMIF(MonNames,Table42478910111213141821232527232527[[#This Row],[Name]],MonFood)+SUMIF(TuesNames,Table42478910111213141821232527232527[[#This Row],[Name]],TuesFood)+SUMIF(WedNames,Table42478910111213141821232527232527[[#This Row],[Name]],WedFood)+SUMIF(ThursNames,Table42478910111213141821232527232527[[#This Row],[Name]],ThursFood)+SUMIF(FriNames,Table42478910111213141821232527232527[[#This Row],[Name]],FriFood)+SUMIF(SatNames,Table42478910111213141821232527232527[[#This Row],[Name]],SatFood)</f>
        <v>0</v>
      </c>
      <c r="AS59" s="29">
        <f>SUMIF(SunNames,Table42478910111213141821232527232527[[#This Row],[Name]],SunAlcohol)+SUMIF(MonNames,Table42478910111213141821232527232527[[#This Row],[Name]],MonAlcohol)+SUMIF(TuesNames,Table42478910111213141821232527232527[[#This Row],[Name]],TuesAlcohol)+SUMIF(WedNames,Table42478910111213141821232527232527[[#This Row],[Name]],WedAlcohol)+SUMIF(ThursNames,Table42478910111213141821232527232527[[#This Row],[Name]],ThursAlcohol)+SUMIF(FriNames,Table42478910111213141821232527232527[[#This Row],[Name]],FriAlcohol)+SUMIF(SatNames,Table42478910111213141821232527232527[[#This Row],[Name]],SatAlcohol)</f>
        <v>0</v>
      </c>
      <c r="AT59" s="29">
        <f>SUMIF(SunNames,Table42478910111213141821232527232527[[#This Row],[Name]],SunTotal)+SUMIF(MonNames,Table42478910111213141821232527232527[[#This Row],[Name]],MonTotal)+SUMIF(TuesNames,Table42478910111213141821232527232527[[#This Row],[Name]],TuesTotal)+SUMIF(WedNames,Table42478910111213141821232527232527[[#This Row],[Name]],WedTotal)+SUMIF(ThursNames,Table42478910111213141821232527232527[[#This Row],[Name]],ThursTotal)+SUMIF(FriNames,Table42478910111213141821232527232527[[#This Row],[Name]],FriTotal)+SUMIF(SatNames,Table42478910111213141821232527232527[[#This Row],[Name]],SatTotal)</f>
        <v>0</v>
      </c>
    </row>
    <row r="60" spans="1:47" hidden="1" x14ac:dyDescent="0.2">
      <c r="AN60" s="73" t="s">
        <v>5</v>
      </c>
      <c r="AO60" s="74">
        <f>SUBTOTAL(109,Table42478910111213141821232527232527[Hours])</f>
        <v>0</v>
      </c>
      <c r="AP60" s="47" t="s">
        <v>45</v>
      </c>
      <c r="AQ60" s="48">
        <f>SUBTOTAL(101,Table42478910111213141821232527232527[Hourly])</f>
        <v>0</v>
      </c>
      <c r="AR60" s="48">
        <f>SUBTOTAL(109,Table42478910111213141821232527232527[Food])</f>
        <v>0</v>
      </c>
      <c r="AS60" s="48">
        <f>SUBTOTAL(109,Table42478910111213141821232527232527[Alcohol])</f>
        <v>0</v>
      </c>
      <c r="AT60" s="48">
        <f>SUBTOTAL(109,Table42478910111213141821232527232527[Total])</f>
        <v>0</v>
      </c>
      <c r="AU60" s="73"/>
    </row>
    <row r="61" spans="1:47" hidden="1" x14ac:dyDescent="0.2">
      <c r="A61" s="29" t="s">
        <v>15</v>
      </c>
      <c r="B61" s="51" t="s">
        <v>15</v>
      </c>
      <c r="C61" s="29" t="s">
        <v>26</v>
      </c>
      <c r="D61" s="29" t="s">
        <v>33</v>
      </c>
      <c r="E61" s="29" t="s">
        <v>30</v>
      </c>
      <c r="I61" s="29" t="s">
        <v>34</v>
      </c>
      <c r="K61" s="29">
        <f>SUM(K29:K45)</f>
        <v>0</v>
      </c>
      <c r="L61" s="29">
        <f>SUM(L29:L45)</f>
        <v>0</v>
      </c>
      <c r="M61" s="29">
        <f>SUM(M29:M45)</f>
        <v>0</v>
      </c>
      <c r="N61" s="29" t="s">
        <v>15</v>
      </c>
      <c r="O61" s="51" t="s">
        <v>15</v>
      </c>
      <c r="P61" s="29" t="s">
        <v>26</v>
      </c>
      <c r="Q61" s="29" t="s">
        <v>33</v>
      </c>
      <c r="R61" s="29" t="s">
        <v>30</v>
      </c>
      <c r="V61" s="29" t="s">
        <v>34</v>
      </c>
      <c r="X61" s="29">
        <f>SUM(X29:X45)</f>
        <v>0</v>
      </c>
      <c r="Y61" s="29">
        <f>SUM(Y29:Y45)</f>
        <v>0</v>
      </c>
      <c r="Z61" s="29">
        <f>SUM(Z29:Z45)</f>
        <v>0</v>
      </c>
      <c r="AA61" s="29" t="s">
        <v>15</v>
      </c>
      <c r="AB61" s="51" t="s">
        <v>15</v>
      </c>
      <c r="AC61" s="29" t="s">
        <v>26</v>
      </c>
      <c r="AD61" s="29" t="s">
        <v>33</v>
      </c>
      <c r="AE61" s="29" t="s">
        <v>30</v>
      </c>
      <c r="AI61" s="29" t="s">
        <v>34</v>
      </c>
    </row>
    <row r="62" spans="1:47" hidden="1" x14ac:dyDescent="0.2">
      <c r="A62" s="29" t="s">
        <v>14</v>
      </c>
      <c r="B62" s="51" t="s">
        <v>20</v>
      </c>
      <c r="C62" s="29" t="s">
        <v>14</v>
      </c>
      <c r="D62" s="29" t="s">
        <v>20</v>
      </c>
      <c r="E62" s="29" t="s">
        <v>14</v>
      </c>
      <c r="F62" s="29" t="s">
        <v>20</v>
      </c>
      <c r="N62" s="29" t="s">
        <v>14</v>
      </c>
      <c r="O62" s="51" t="s">
        <v>20</v>
      </c>
      <c r="P62" s="29" t="s">
        <v>14</v>
      </c>
      <c r="Q62" s="29" t="s">
        <v>20</v>
      </c>
      <c r="R62" s="29" t="s">
        <v>14</v>
      </c>
      <c r="S62" s="29" t="s">
        <v>20</v>
      </c>
      <c r="AA62" s="29" t="s">
        <v>14</v>
      </c>
      <c r="AB62" s="51" t="s">
        <v>20</v>
      </c>
      <c r="AC62" s="29" t="s">
        <v>14</v>
      </c>
      <c r="AD62" s="29" t="s">
        <v>20</v>
      </c>
      <c r="AE62" s="29" t="s">
        <v>14</v>
      </c>
      <c r="AF62" s="29" t="s">
        <v>20</v>
      </c>
    </row>
    <row r="63" spans="1:47" hidden="1" x14ac:dyDescent="0.2">
      <c r="A63" s="29">
        <f>SUMIFS(Template!TuesHours,Template!TuesAMPM,A62,Template!TuesJobCode,"Bartender")</f>
        <v>0</v>
      </c>
      <c r="B63" s="51">
        <f>SUMIFS(Template!TuesHours,Template!TuesAMPM,B62,Template!TuesJobCode,"Bartender")</f>
        <v>0</v>
      </c>
      <c r="C63" s="29">
        <f>SUMIFS(Template!TuesHours,Template!TuesAMPM,C62,Template!TuesJobCode,"Food Runner")+SUMIFS(Template!TuesHours,Template!TuesAMPM,C62,Template!TuesJobCode,"Expo")</f>
        <v>0</v>
      </c>
      <c r="D63" s="29">
        <f>SUMIFS(Template!TuesHours,Template!TuesAMPM,D62,Template!TuesJobCode,"Food Runner")+SUMIFS(Template!TuesHours,Template!TuesAMPM,D62,Template!TuesJobCode,"Expo")</f>
        <v>0</v>
      </c>
      <c r="E63" s="29">
        <f>SUMIFS(Template!TuesHours,Template!TuesAMPM,E62,Template!TuesJobCode,"Host")</f>
        <v>0</v>
      </c>
      <c r="F63" s="29">
        <f>SUMIFS(Template!TuesHours,Template!TuesAMPM,F62,Template!TuesJobCode,"Host")</f>
        <v>0</v>
      </c>
      <c r="G63" s="29" t="s">
        <v>35</v>
      </c>
      <c r="N63" s="29">
        <f>SUMIFS(Template!ThursHours,Template!ThursAMPM,N62,Template!ThursJobCode,"Bartender")</f>
        <v>0</v>
      </c>
      <c r="O63" s="51">
        <f>SUMIFS(Template!ThursHours,Template!ThursAMPM,O62,Template!ThursJobCode,"Bartender")</f>
        <v>0</v>
      </c>
      <c r="P63" s="29">
        <f>SUMIFS(Template!ThursHours,Template!ThursAMPM,P62,Template!ThursJobCode,"Food Runner")+SUMIFS(Template!ThursHours,Template!ThursAMPM,P62,Template!ThursJobCode,"Expo")</f>
        <v>0</v>
      </c>
      <c r="Q63" s="29">
        <f>SUMIFS(Template!ThursHours,Template!ThursAMPM,Q62,Template!ThursJobCode,"Food Runner")+SUMIFS(Template!ThursHours,Template!ThursAMPM,Q62,Template!ThursJobCode,"Expo")</f>
        <v>0</v>
      </c>
      <c r="R63" s="29">
        <f>SUMIFS(Template!ThursHours,Template!ThursAMPM,R62,Template!ThursJobCode,"Host")</f>
        <v>0</v>
      </c>
      <c r="S63" s="29">
        <f>SUMIFS(Template!ThursHours,Template!ThursAMPM,S62,Template!ThursJobCode,"Host")</f>
        <v>0</v>
      </c>
      <c r="T63" s="29" t="s">
        <v>35</v>
      </c>
      <c r="AA63" s="29">
        <f>SUMIFS(Template!SatHours,Template!SatAMPM,AA62,Template!SatJobCode,"Bartender")</f>
        <v>0</v>
      </c>
      <c r="AB63" s="51">
        <f>SUMIFS(Template!SatHours,Template!SatAMPM,AB62,Template!SatJobCode,"Bartender")</f>
        <v>0</v>
      </c>
      <c r="AC63" s="29">
        <f>SUMIFS(Template!SatHours,Template!SatAMPM,AC62,Template!SatJobCode,"Food Runner")+SUMIFS(Template!SatHours,Template!SatAMPM,AC62,Template!SatJobCode,"Expo")</f>
        <v>0</v>
      </c>
      <c r="AD63" s="29">
        <f>SUMIFS(Template!SatHours,Template!SatAMPM,AD62,Template!SatJobCode,"Food Runner")+SUMIFS(Template!SatHours,Template!SatAMPM,AD62,Template!SatJobCode,"Expo")</f>
        <v>0</v>
      </c>
      <c r="AE63" s="29">
        <f>SUMIFS(Template!SatHours,Template!SatAMPM,AE62,Template!SatJobCode,"Host")</f>
        <v>0</v>
      </c>
      <c r="AF63" s="29">
        <f>SUMIFS(Template!SatHours,Template!SatAMPM,AF62,Template!SatJobCode,"Host")</f>
        <v>0</v>
      </c>
      <c r="AG63" s="29" t="s">
        <v>35</v>
      </c>
    </row>
    <row r="64" spans="1:47" hidden="1" x14ac:dyDescent="0.2">
      <c r="A64" s="29">
        <f>SUMIFS(TuesAlcTipout,Template!TuesAMPM,A62,Template!TuesJobCode,"&lt;&gt;Bartender")*-1</f>
        <v>0</v>
      </c>
      <c r="B64" s="72">
        <f>SUMIFS(TuesAlcTipout,Template!TuesAMPM,B62,Template!TuesJobCode,"&lt;&gt;Bartender")*-1</f>
        <v>0</v>
      </c>
      <c r="C64" s="29">
        <f>ABS(IF(C63=0,0,(SUMIFS(TuesFoodTipout,Template!TuesAMPM,C62,Template!TuesJobCode,"Server")+(SUMIFS(TuesFoodTipout,Template!TuesAMPM,C62,Template!TuesJobCode,"Bartender")))))</f>
        <v>0</v>
      </c>
      <c r="D64" s="29">
        <f>ABS(IF(D63=0,0,(SUMIFS(TuesFoodTipout,Template!TuesAMPM,D62,Template!TuesJobCode,"Server")+(SUMIFS(TuesFoodTipout,Template!TuesAMPM,D62,Template!TuesJobCode,"Bartender")))))</f>
        <v>0</v>
      </c>
      <c r="E64" s="29">
        <f>ABS(SUMIFS(TuesHostTipout,Template!TuesAMPM,E62,Template!TuesJobCode,"&lt;&gt;Host"))</f>
        <v>0</v>
      </c>
      <c r="F64" s="29">
        <f>ABS(SUMIFS(TuesHostTipout,Template!TuesAMPM,F62,Template!TuesJobCode,"&lt;&gt;Host"))</f>
        <v>0</v>
      </c>
      <c r="G64" s="29" t="s">
        <v>36</v>
      </c>
      <c r="N64" s="29">
        <f>SUMIFS(ThursAlcTipout,Template!ThursAMPM,N62,Template!ThursJobCode,"&lt;&gt;Bartender")*-1</f>
        <v>0</v>
      </c>
      <c r="O64" s="72">
        <f>SUMIFS(ThursAlcTipout,Template!ThursAMPM,O62,Template!ThursJobCode,"&lt;&gt;Bartender")*-1</f>
        <v>0</v>
      </c>
      <c r="P64" s="29">
        <f>ABS(IF(P63=0,0,(SUMIFS(ThursFoodTipout,Template!ThursAMPM,P62,Template!ThursJobCode,"Server")+(SUMIFS(ThursFoodTipout,Template!ThursAMPM,P62,Template!ThursJobCode,"Bartender")))))</f>
        <v>0</v>
      </c>
      <c r="Q64" s="29">
        <f>ABS(IF(Q63=0,0,(SUMIFS(ThursFoodTipout,Template!ThursAMPM,Q62,Template!ThursJobCode,"Server")+(SUMIFS(ThursFoodTipout,Template!ThursAMPM,Q62,Template!ThursJobCode,"Bartender")))))</f>
        <v>0</v>
      </c>
      <c r="R64" s="29">
        <f>ABS(SUMIFS(ThursHostTipout,Template!ThursAMPM,R62,Template!ThursJobCode,"&lt;&gt;Host"))</f>
        <v>0</v>
      </c>
      <c r="S64" s="29">
        <f>ABS(SUMIFS(ThursHostTipout,Template!ThursAMPM,S62,Template!ThursJobCode,"&lt;&gt;Host"))</f>
        <v>0</v>
      </c>
      <c r="T64" s="29" t="s">
        <v>36</v>
      </c>
      <c r="AA64" s="29">
        <f>SUMIFS(SatAlcTipout,Template!SatAMPM,AA62,Template!SatJobCode,"&lt;&gt;Bartender")*-1</f>
        <v>0</v>
      </c>
      <c r="AB64" s="72">
        <f>SUMIFS(SatAlcTipout,Template!SatAMPM,AB62,Template!SatJobCode,"&lt;&gt;Bartender")*-1</f>
        <v>0</v>
      </c>
      <c r="AC64" s="29">
        <f>ABS(IF(AC63=0,0,(SUMIFS(SatFoodTipout,Template!SatAMPM,AC62,Template!SatJobCode,"Server")+(SUMIFS(SatFoodTipout,Template!SatAMPM,AC62,Template!SatJobCode,"Bartender")))))</f>
        <v>0</v>
      </c>
      <c r="AD64" s="29">
        <f>ABS(IF(AD63=0,0,(SUMIFS(SatFoodTipout,Template!SatAMPM,AD62,Template!SatJobCode,"Server")+(SUMIFS(SatFoodTipout,Template!SatAMPM,AD62,Template!SatJobCode,"Bartender")))))</f>
        <v>0</v>
      </c>
      <c r="AE64" s="29">
        <f>ABS(SUMIFS(SatHostTipout,Template!SatAMPM,AE62,Template!SatJobCode,"&lt;&gt;Host"))</f>
        <v>0</v>
      </c>
      <c r="AF64" s="29">
        <f>ABS(SUMIFS(SatHostTipout,Template!SatAMPM,AF62,Template!SatJobCode,"&lt;&gt;Host"))</f>
        <v>0</v>
      </c>
      <c r="AG64" s="29" t="s">
        <v>36</v>
      </c>
    </row>
    <row r="65" spans="1:45" hidden="1" x14ac:dyDescent="0.2">
      <c r="A65" s="72">
        <f>SUMIFS(Template!TuesTips,Template!TuesAMPM,A62,Template!TuesJobCode,A61)</f>
        <v>0</v>
      </c>
      <c r="B65" s="72">
        <f>SUMIFS(Template!TuesTips,Template!TuesAMPM,B62,Template!TuesJobCode,B61)</f>
        <v>0</v>
      </c>
      <c r="C65" s="29">
        <f>SUMIFS(TuesFoodTipout,Template!TuesAMPM,C62,Template!TuesJobCode,"Bartender")</f>
        <v>0</v>
      </c>
      <c r="D65" s="29">
        <f>SUMIFS(TuesFoodTipout,Template!TuesAMPM,D62,Template!TuesJobCode,"Bartender")</f>
        <v>0</v>
      </c>
      <c r="E65" s="29">
        <f>SUMIFS(TuesHostTipout,Template!TuesJobCode,"Bartender",Template!TuesAMPM,E62)</f>
        <v>0</v>
      </c>
      <c r="F65" s="29">
        <f>SUMIFS(TuesHostTipout,Template!TuesJobCode,"Bartender",Template!TuesAMPM,F62)</f>
        <v>0</v>
      </c>
      <c r="G65" s="29" t="s">
        <v>37</v>
      </c>
      <c r="N65" s="72">
        <f>SUMIFS(Template!ThursTips,Template!ThursAMPM,N62,Template!ThursJobCode,N61)</f>
        <v>0</v>
      </c>
      <c r="O65" s="72">
        <f>SUMIFS(Template!ThursTips,Template!ThursAMPM,O62,Template!ThursJobCode,O61)</f>
        <v>0</v>
      </c>
      <c r="P65" s="29">
        <f>SUMIFS(ThursFoodTipout,Template!ThursAMPM,P62,Template!ThursJobCode,"Bartender")</f>
        <v>0</v>
      </c>
      <c r="Q65" s="29">
        <f>SUMIFS(ThursFoodTipout,Template!ThursAMPM,Q62,Template!ThursJobCode,"Bartender")</f>
        <v>0</v>
      </c>
      <c r="R65" s="29">
        <f>SUMIFS(ThursHostTipout,Template!ThursJobCode,"Bartender",Template!ThursAMPM,R62)</f>
        <v>0</v>
      </c>
      <c r="S65" s="29">
        <f>SUMIFS(ThursHostTipout,Template!ThursJobCode,"Bartender",Template!ThursAMPM,S62)</f>
        <v>0</v>
      </c>
      <c r="T65" s="29" t="s">
        <v>37</v>
      </c>
      <c r="AA65" s="72">
        <f>SUMIFS(Template!SatTips,Template!SatAMPM,AA62,Template!SatJobCode,AA61)</f>
        <v>0</v>
      </c>
      <c r="AB65" s="72">
        <f>SUMIFS(Template!SatTips,Template!SatAMPM,AB62,Template!SatJobCode,AB61)</f>
        <v>0</v>
      </c>
      <c r="AC65" s="29">
        <f>SUMIFS(SatFoodTipout,Template!SatAMPM,AC62,Template!SatJobCode,"Bartender")</f>
        <v>0</v>
      </c>
      <c r="AD65" s="29">
        <f>SUMIFS(SatFoodTipout,Template!SatAMPM,AD62,Template!SatJobCode,"Bartender")</f>
        <v>0</v>
      </c>
      <c r="AE65" s="29">
        <f>SUMIFS(SatHostTipout,Template!SatJobCode,"Bartender",Template!SatAMPM,AE62)</f>
        <v>0</v>
      </c>
      <c r="AF65" s="29">
        <f>SUMIFS(SatHostTipout,Template!SatJobCode,"Bartender",Template!SatAMPM,AF62)</f>
        <v>0</v>
      </c>
      <c r="AG65" s="29" t="s">
        <v>37</v>
      </c>
    </row>
    <row r="66" spans="1:45" hidden="1" x14ac:dyDescent="0.2">
      <c r="A66" s="29" t="e">
        <f>A64/A63</f>
        <v>#DIV/0!</v>
      </c>
      <c r="B66" s="51" t="e">
        <f>B64/B63</f>
        <v>#DIV/0!</v>
      </c>
      <c r="C66" s="29">
        <f>IFERROR(C64/C63,0)</f>
        <v>0</v>
      </c>
      <c r="D66" s="29">
        <f>IFERROR(D64/D63,0)</f>
        <v>0</v>
      </c>
      <c r="E66" s="29">
        <f>IFERROR(E64/E63,0)</f>
        <v>0</v>
      </c>
      <c r="F66" s="29">
        <f>IFERROR(F64/F63,0)</f>
        <v>0</v>
      </c>
      <c r="G66" s="29" t="s">
        <v>38</v>
      </c>
      <c r="N66" s="29" t="e">
        <f>N64/N63</f>
        <v>#DIV/0!</v>
      </c>
      <c r="O66" s="51" t="e">
        <f>O64/O63</f>
        <v>#DIV/0!</v>
      </c>
      <c r="P66" s="29">
        <f>IFERROR(P64/P63,0)</f>
        <v>0</v>
      </c>
      <c r="Q66" s="29">
        <f>IFERROR(Q64/Q63,0)</f>
        <v>0</v>
      </c>
      <c r="R66" s="29">
        <f>IFERROR(R64/R63,0)</f>
        <v>0</v>
      </c>
      <c r="S66" s="29">
        <f>IFERROR(S64/S63,0)</f>
        <v>0</v>
      </c>
      <c r="T66" s="29" t="s">
        <v>38</v>
      </c>
      <c r="AA66" s="29" t="e">
        <f>AA64/AA63</f>
        <v>#DIV/0!</v>
      </c>
      <c r="AB66" s="51" t="e">
        <f>AB64/AB63</f>
        <v>#DIV/0!</v>
      </c>
      <c r="AC66" s="29">
        <f>IFERROR(AC64/AC63,0)</f>
        <v>0</v>
      </c>
      <c r="AD66" s="29">
        <f>IFERROR(AD64/AD63,0)</f>
        <v>0</v>
      </c>
      <c r="AE66" s="29">
        <f>IFERROR(AE64/AE63,0)</f>
        <v>0</v>
      </c>
      <c r="AF66" s="29">
        <f>IFERROR(AF64/AF63,0)</f>
        <v>0</v>
      </c>
      <c r="AG66" s="29" t="s">
        <v>38</v>
      </c>
    </row>
    <row r="67" spans="1:45" hidden="1" x14ac:dyDescent="0.2">
      <c r="A67" s="29" t="e">
        <f>A65/A63</f>
        <v>#DIV/0!</v>
      </c>
      <c r="B67" s="51" t="e">
        <f>B65/B63</f>
        <v>#DIV/0!</v>
      </c>
      <c r="C67" s="29" t="e">
        <f>C65/A63</f>
        <v>#DIV/0!</v>
      </c>
      <c r="D67" s="29" t="e">
        <f>D65/B63</f>
        <v>#DIV/0!</v>
      </c>
      <c r="E67" s="29" t="e">
        <f>E65/A63</f>
        <v>#DIV/0!</v>
      </c>
      <c r="F67" s="29" t="e">
        <f>F65/B63</f>
        <v>#DIV/0!</v>
      </c>
      <c r="G67" s="29" t="s">
        <v>39</v>
      </c>
      <c r="N67" s="29" t="e">
        <f>N65/N63</f>
        <v>#DIV/0!</v>
      </c>
      <c r="O67" s="51" t="e">
        <f>O65/O63</f>
        <v>#DIV/0!</v>
      </c>
      <c r="P67" s="29" t="e">
        <f>P65/N63</f>
        <v>#DIV/0!</v>
      </c>
      <c r="Q67" s="29" t="e">
        <f>Q65/O63</f>
        <v>#DIV/0!</v>
      </c>
      <c r="R67" s="29" t="e">
        <f>R65/N63</f>
        <v>#DIV/0!</v>
      </c>
      <c r="S67" s="29" t="e">
        <f>S65/O63</f>
        <v>#DIV/0!</v>
      </c>
      <c r="T67" s="29" t="s">
        <v>39</v>
      </c>
      <c r="AA67" s="29" t="e">
        <f>AA65/AA63</f>
        <v>#DIV/0!</v>
      </c>
      <c r="AB67" s="51" t="e">
        <f>AB65/AB63</f>
        <v>#DIV/0!</v>
      </c>
      <c r="AC67" s="29" t="e">
        <f>AC65/AA63</f>
        <v>#DIV/0!</v>
      </c>
      <c r="AD67" s="29" t="e">
        <f>AD65/AB63</f>
        <v>#DIV/0!</v>
      </c>
      <c r="AE67" s="29" t="e">
        <f>AE65/AA63</f>
        <v>#DIV/0!</v>
      </c>
      <c r="AF67" s="29" t="e">
        <f>AF65/AB63</f>
        <v>#DIV/0!</v>
      </c>
      <c r="AG67" s="29" t="s">
        <v>39</v>
      </c>
    </row>
    <row r="68" spans="1:45" hidden="1" x14ac:dyDescent="0.2">
      <c r="A68" s="29" t="s">
        <v>46</v>
      </c>
      <c r="B68" s="51" t="s">
        <v>47</v>
      </c>
      <c r="C68" s="29" t="s">
        <v>48</v>
      </c>
      <c r="AN68" s="29" t="s">
        <v>49</v>
      </c>
      <c r="AO68" s="25" t="e">
        <f>Table42478910111213141821232527232527[[#Totals],[Total]]/Table42478910111213141821232527232527[[#Totals],[Hours]]</f>
        <v>#DIV/0!</v>
      </c>
      <c r="AP68" s="25">
        <f>IFERROR(Table42478910111213141821232527232527[[#Totals],[Total]]/AP69,0)</f>
        <v>0</v>
      </c>
      <c r="AR68" s="25" t="e">
        <f>Table42478910111213141821232527232527[[#Totals],[Food]]/Table42478910111213141821232527232527[[#Totals],[Total]]</f>
        <v>#DIV/0!</v>
      </c>
      <c r="AS68" s="25" t="e">
        <f>Table42478910111213141821232527232527[[#Totals],[Alcohol]]/Table42478910111213141821232527232527[[#Totals],[Total]]</f>
        <v>#DIV/0!</v>
      </c>
    </row>
    <row r="69" spans="1:45" hidden="1" x14ac:dyDescent="0.2">
      <c r="A69" s="29" t="str">
        <f>TEXT(A1,"mm.dd")</f>
        <v>01.01</v>
      </c>
      <c r="B69" s="51" t="str">
        <f>TEXT(AN1,"mm.dd")</f>
        <v>01.07</v>
      </c>
      <c r="C69" s="29" t="str">
        <f>A69&amp;"-"&amp;B69</f>
        <v>01.01-01.07</v>
      </c>
      <c r="AO69" s="51" t="s">
        <v>50</v>
      </c>
      <c r="AP69" s="64"/>
      <c r="AR69" s="29" t="s">
        <v>51</v>
      </c>
      <c r="AS69" s="29" t="s">
        <v>52</v>
      </c>
    </row>
    <row r="70" spans="1:45" hidden="1" x14ac:dyDescent="0.2">
      <c r="AN70" s="51" t="s">
        <v>53</v>
      </c>
      <c r="AP70" s="65"/>
      <c r="AR70" s="29" t="s">
        <v>51</v>
      </c>
      <c r="AS70" s="29" t="s">
        <v>52</v>
      </c>
    </row>
    <row r="71" spans="1:45" x14ac:dyDescent="0.2">
      <c r="AN71" s="52" t="s">
        <v>54</v>
      </c>
      <c r="AO71" s="25" t="e">
        <f>Table42478910111213141821232527232527[[#Totals],[Hours]]/Table42478910111213141821232527232527[[#Totals],[Total]]</f>
        <v>#DIV/0!</v>
      </c>
      <c r="AP71" s="25" t="e">
        <f>AP70/Table42478910111213141821232527232527[[#Totals],[Total]]</f>
        <v>#DIV/0!</v>
      </c>
      <c r="AR71" s="25" t="e">
        <f>Table42478910111213141821232527232527[[#Totals],[Food]]/Table42478910111213141821232527232527[[#Totals],[Total]]</f>
        <v>#DIV/0!</v>
      </c>
      <c r="AS71" s="25" t="e">
        <f>Table42478910111213141821232527232527[[#Totals],[Alcohol]]/Table42478910111213141821232527232527[[#Totals],[Total]]</f>
        <v>#DIV/0!</v>
      </c>
    </row>
  </sheetData>
  <sheetProtection sheet="1" objects="1" scenarios="1"/>
  <mergeCells count="8">
    <mergeCell ref="B1:J1"/>
    <mergeCell ref="O1:W1"/>
    <mergeCell ref="AB1:AJ1"/>
    <mergeCell ref="AO1:AW1"/>
    <mergeCell ref="B27:J27"/>
    <mergeCell ref="O27:W27"/>
    <mergeCell ref="AB27:AJ27"/>
    <mergeCell ref="AN27:AU27"/>
  </mergeCells>
  <dataValidations count="5">
    <dataValidation type="list" allowBlank="1" showInputMessage="1" showErrorMessage="1" sqref="H20 H61 U61 AH61 U20 AH20 AU20" xr:uid="{6CE021C9-972A-C347-959F-E273D2513C18}">
      <formula1>$R$2:$R$8</formula1>
    </dataValidation>
    <dataValidation type="list" allowBlank="1" showInputMessage="1" showErrorMessage="1" sqref="H21 G61:G62 H62 U62 AH62 U21 G29:G45 AH21 T61:T62 AU21 AG61:AG62 AG3:AG21 AG29:AG45 T3:T21 T29:T45 G3:G21 AT3:AT21" xr:uid="{5F554ABF-1824-504C-9EEA-32CDF946154B}">
      <formula1>"AM, PM"</formula1>
    </dataValidation>
    <dataValidation type="list" allowBlank="1" showInputMessage="1" showErrorMessage="1" sqref="AN3:AN19 N3:N19 N29:N45 A29:A45 AA3:AA19 AA29:AA45 A3:A19" xr:uid="{E8E94D5E-0373-B445-9B4C-C3156A8D355D}">
      <formula1>$AN$29:$AN$59</formula1>
    </dataValidation>
    <dataValidation type="list" allowBlank="1" showInputMessage="1" showErrorMessage="1" sqref="AH29:AH45 AU3:AU19 AH3:AH19 U29:U45 H37:H45 U17:U19" xr:uid="{DF602C57-CA40-EF44-831D-254AE67E1910}">
      <formula1>$AU$29:$AU$59</formula1>
    </dataValidation>
    <dataValidation type="list" allowBlank="1" showInputMessage="1" showErrorMessage="1" sqref="U3:U16 H29:H36 H3:H19" xr:uid="{BBAE0769-EE9C-BB4A-B271-114D5014A3FC}">
      <formula1>$AU$29:$AU$44</formula1>
    </dataValidation>
  </dataValidations>
  <pageMargins left="0.7" right="0.7" top="0.75" bottom="0.75" header="0.3" footer="0.3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492</vt:i4>
      </vt:variant>
    </vt:vector>
  </HeadingPairs>
  <TitlesOfParts>
    <vt:vector size="496" baseType="lpstr">
      <vt:lpstr>02.26-03.03</vt:lpstr>
      <vt:lpstr>Sample</vt:lpstr>
      <vt:lpstr>Final Look</vt:lpstr>
      <vt:lpstr>Template</vt:lpstr>
      <vt:lpstr>'02.26-03.03'!AlcoholTipPercentage</vt:lpstr>
      <vt:lpstr>'Final Look'!AlcoholTipPercentage</vt:lpstr>
      <vt:lpstr>Sample!AlcoholTipPercentage</vt:lpstr>
      <vt:lpstr>Template!AlcoholTipPercentage</vt:lpstr>
      <vt:lpstr>'02.26-03.03'!FoodTipPercentage</vt:lpstr>
      <vt:lpstr>'Final Look'!FoodTipPercentage</vt:lpstr>
      <vt:lpstr>Sample!FoodTipPercentage</vt:lpstr>
      <vt:lpstr>Template!FoodTipPercentage</vt:lpstr>
      <vt:lpstr>'02.26-03.03'!FriAlcohol</vt:lpstr>
      <vt:lpstr>'Final Look'!FriAlcohol</vt:lpstr>
      <vt:lpstr>Sample!FriAlcohol</vt:lpstr>
      <vt:lpstr>Template!FriAlcohol</vt:lpstr>
      <vt:lpstr>'02.26-03.03'!FriAlcTipout</vt:lpstr>
      <vt:lpstr>'Final Look'!FriAlcTipout</vt:lpstr>
      <vt:lpstr>Sample!FriAlcTipout</vt:lpstr>
      <vt:lpstr>Template!FriAlcTipout</vt:lpstr>
      <vt:lpstr>'02.26-03.03'!FriAMPM</vt:lpstr>
      <vt:lpstr>'Final Look'!FriAMPM</vt:lpstr>
      <vt:lpstr>Sample!FriAMPM</vt:lpstr>
      <vt:lpstr>Template!FriAMPM</vt:lpstr>
      <vt:lpstr>'02.26-03.03'!FriBarTable</vt:lpstr>
      <vt:lpstr>'Final Look'!FriBarTable</vt:lpstr>
      <vt:lpstr>Sample!FriBarTable</vt:lpstr>
      <vt:lpstr>Template!FriBarTable</vt:lpstr>
      <vt:lpstr>'02.26-03.03'!Friday</vt:lpstr>
      <vt:lpstr>'Final Look'!Friday</vt:lpstr>
      <vt:lpstr>Sample!Friday</vt:lpstr>
      <vt:lpstr>Template!Friday</vt:lpstr>
      <vt:lpstr>'02.26-03.03'!FriFood</vt:lpstr>
      <vt:lpstr>'Final Look'!FriFood</vt:lpstr>
      <vt:lpstr>Sample!FriFood</vt:lpstr>
      <vt:lpstr>Template!FriFood</vt:lpstr>
      <vt:lpstr>'02.26-03.03'!FriFoodTable</vt:lpstr>
      <vt:lpstr>'Final Look'!FriFoodTable</vt:lpstr>
      <vt:lpstr>Sample!FriFoodTable</vt:lpstr>
      <vt:lpstr>Template!FriFoodTable</vt:lpstr>
      <vt:lpstr>'02.26-03.03'!FriFoodTipout</vt:lpstr>
      <vt:lpstr>'Final Look'!FriFoodTipout</vt:lpstr>
      <vt:lpstr>Sample!FriFoodTipout</vt:lpstr>
      <vt:lpstr>Template!FriFoodTipout</vt:lpstr>
      <vt:lpstr>'02.26-03.03'!FriHostTable</vt:lpstr>
      <vt:lpstr>'Final Look'!FriHostTable</vt:lpstr>
      <vt:lpstr>Sample!FriHostTable</vt:lpstr>
      <vt:lpstr>Template!FriHostTable</vt:lpstr>
      <vt:lpstr>'02.26-03.03'!FriHostTipout</vt:lpstr>
      <vt:lpstr>'Final Look'!FriHostTipout</vt:lpstr>
      <vt:lpstr>Sample!FriHostTipout</vt:lpstr>
      <vt:lpstr>Template!FriHostTipout</vt:lpstr>
      <vt:lpstr>'02.26-03.03'!FriHours</vt:lpstr>
      <vt:lpstr>'Final Look'!FriHours</vt:lpstr>
      <vt:lpstr>Sample!FriHours</vt:lpstr>
      <vt:lpstr>Template!FriHours</vt:lpstr>
      <vt:lpstr>'02.26-03.03'!FriJobCode</vt:lpstr>
      <vt:lpstr>'Final Look'!FriJobCode</vt:lpstr>
      <vt:lpstr>Sample!FriJobCode</vt:lpstr>
      <vt:lpstr>Template!FriJobCode</vt:lpstr>
      <vt:lpstr>'02.26-03.03'!FriNames</vt:lpstr>
      <vt:lpstr>'Final Look'!FriNames</vt:lpstr>
      <vt:lpstr>Sample!FriNames</vt:lpstr>
      <vt:lpstr>Template!FriNames</vt:lpstr>
      <vt:lpstr>'02.26-03.03'!FriNetTipout</vt:lpstr>
      <vt:lpstr>'Final Look'!FriNetTipout</vt:lpstr>
      <vt:lpstr>Sample!FriNetTipout</vt:lpstr>
      <vt:lpstr>Template!FriNetTipout</vt:lpstr>
      <vt:lpstr>'02.26-03.03'!FriTakeHome</vt:lpstr>
      <vt:lpstr>'Final Look'!FriTakeHome</vt:lpstr>
      <vt:lpstr>Sample!FriTakeHome</vt:lpstr>
      <vt:lpstr>Template!FriTakeHome</vt:lpstr>
      <vt:lpstr>'02.26-03.03'!FriTips</vt:lpstr>
      <vt:lpstr>'Final Look'!FriTips</vt:lpstr>
      <vt:lpstr>Sample!FriTips</vt:lpstr>
      <vt:lpstr>Template!FriTips</vt:lpstr>
      <vt:lpstr>'02.26-03.03'!FriTotal</vt:lpstr>
      <vt:lpstr>'Final Look'!FriTotal</vt:lpstr>
      <vt:lpstr>Sample!FriTotal</vt:lpstr>
      <vt:lpstr>Template!FriTotal</vt:lpstr>
      <vt:lpstr>'02.26-03.03'!HostTipPercentage</vt:lpstr>
      <vt:lpstr>'Final Look'!HostTipPercentage</vt:lpstr>
      <vt:lpstr>Sample!HostTipPercentage</vt:lpstr>
      <vt:lpstr>Template!HostTipPercentage</vt:lpstr>
      <vt:lpstr>'02.26-03.03'!MonAlcohol</vt:lpstr>
      <vt:lpstr>'Final Look'!MonAlcohol</vt:lpstr>
      <vt:lpstr>Sample!MonAlcohol</vt:lpstr>
      <vt:lpstr>Template!MonAlcohol</vt:lpstr>
      <vt:lpstr>'02.26-03.03'!MonAlcTipout</vt:lpstr>
      <vt:lpstr>'Final Look'!MonAlcTipout</vt:lpstr>
      <vt:lpstr>Sample!MonAlcTipout</vt:lpstr>
      <vt:lpstr>Template!MonAlcTipout</vt:lpstr>
      <vt:lpstr>'02.26-03.03'!MonAMPM</vt:lpstr>
      <vt:lpstr>'Final Look'!MonAMPM</vt:lpstr>
      <vt:lpstr>Sample!MonAMPM</vt:lpstr>
      <vt:lpstr>Template!MonAMPM</vt:lpstr>
      <vt:lpstr>'02.26-03.03'!MonBarTable</vt:lpstr>
      <vt:lpstr>'Final Look'!MonBarTable</vt:lpstr>
      <vt:lpstr>Sample!MonBarTable</vt:lpstr>
      <vt:lpstr>Template!MonBarTable</vt:lpstr>
      <vt:lpstr>'02.26-03.03'!Monday</vt:lpstr>
      <vt:lpstr>'Final Look'!Monday</vt:lpstr>
      <vt:lpstr>Sample!Monday</vt:lpstr>
      <vt:lpstr>Template!Monday</vt:lpstr>
      <vt:lpstr>'02.26-03.03'!MonFood</vt:lpstr>
      <vt:lpstr>'Final Look'!MonFood</vt:lpstr>
      <vt:lpstr>Sample!MonFood</vt:lpstr>
      <vt:lpstr>Template!MonFood</vt:lpstr>
      <vt:lpstr>'02.26-03.03'!MonFoodTable</vt:lpstr>
      <vt:lpstr>'Final Look'!MonFoodTable</vt:lpstr>
      <vt:lpstr>Sample!MonFoodTable</vt:lpstr>
      <vt:lpstr>Template!MonFoodTable</vt:lpstr>
      <vt:lpstr>'02.26-03.03'!MonFoodTipout</vt:lpstr>
      <vt:lpstr>'Final Look'!MonFoodTipout</vt:lpstr>
      <vt:lpstr>Sample!MonFoodTipout</vt:lpstr>
      <vt:lpstr>Template!MonFoodTipout</vt:lpstr>
      <vt:lpstr>'02.26-03.03'!MonHostTable</vt:lpstr>
      <vt:lpstr>'Final Look'!MonHostTable</vt:lpstr>
      <vt:lpstr>Sample!MonHostTable</vt:lpstr>
      <vt:lpstr>Template!MonHostTable</vt:lpstr>
      <vt:lpstr>'02.26-03.03'!MonHostTipout</vt:lpstr>
      <vt:lpstr>'Final Look'!MonHostTipout</vt:lpstr>
      <vt:lpstr>Sample!MonHostTipout</vt:lpstr>
      <vt:lpstr>Template!MonHostTipout</vt:lpstr>
      <vt:lpstr>'02.26-03.03'!MonHours</vt:lpstr>
      <vt:lpstr>'Final Look'!MonHours</vt:lpstr>
      <vt:lpstr>Sample!MonHours</vt:lpstr>
      <vt:lpstr>Template!MonHours</vt:lpstr>
      <vt:lpstr>'02.26-03.03'!MonJobCode</vt:lpstr>
      <vt:lpstr>'Final Look'!MonJobCode</vt:lpstr>
      <vt:lpstr>Sample!MonJobCode</vt:lpstr>
      <vt:lpstr>Template!MonJobCode</vt:lpstr>
      <vt:lpstr>'02.26-03.03'!MonNames</vt:lpstr>
      <vt:lpstr>'Final Look'!MonNames</vt:lpstr>
      <vt:lpstr>Sample!MonNames</vt:lpstr>
      <vt:lpstr>Template!MonNames</vt:lpstr>
      <vt:lpstr>'02.26-03.03'!MonNetTipout</vt:lpstr>
      <vt:lpstr>'Final Look'!MonNetTipout</vt:lpstr>
      <vt:lpstr>Sample!MonNetTipout</vt:lpstr>
      <vt:lpstr>Template!MonNetTipout</vt:lpstr>
      <vt:lpstr>'02.26-03.03'!MonTakeHome</vt:lpstr>
      <vt:lpstr>'Final Look'!MonTakeHome</vt:lpstr>
      <vt:lpstr>Sample!MonTakeHome</vt:lpstr>
      <vt:lpstr>Template!MonTakeHome</vt:lpstr>
      <vt:lpstr>'02.26-03.03'!MonTips</vt:lpstr>
      <vt:lpstr>'Final Look'!MonTips</vt:lpstr>
      <vt:lpstr>Sample!MonTips</vt:lpstr>
      <vt:lpstr>Template!MonTips</vt:lpstr>
      <vt:lpstr>'02.26-03.03'!MonTotal</vt:lpstr>
      <vt:lpstr>'Final Look'!MonTotal</vt:lpstr>
      <vt:lpstr>Sample!MonTotal</vt:lpstr>
      <vt:lpstr>Template!MonTotal</vt:lpstr>
      <vt:lpstr>'02.26-03.03'!SatAlcohol</vt:lpstr>
      <vt:lpstr>'Final Look'!SatAlcohol</vt:lpstr>
      <vt:lpstr>Sample!SatAlcohol</vt:lpstr>
      <vt:lpstr>Template!SatAlcohol</vt:lpstr>
      <vt:lpstr>'02.26-03.03'!SatAlcTipout</vt:lpstr>
      <vt:lpstr>'Final Look'!SatAlcTipout</vt:lpstr>
      <vt:lpstr>Sample!SatAlcTipout</vt:lpstr>
      <vt:lpstr>Template!SatAlcTipout</vt:lpstr>
      <vt:lpstr>'02.26-03.03'!SatAMPM</vt:lpstr>
      <vt:lpstr>'Final Look'!SatAMPM</vt:lpstr>
      <vt:lpstr>Sample!SatAMPM</vt:lpstr>
      <vt:lpstr>Template!SatAMPM</vt:lpstr>
      <vt:lpstr>'02.26-03.03'!SatBarTable</vt:lpstr>
      <vt:lpstr>'Final Look'!SatBarTable</vt:lpstr>
      <vt:lpstr>Sample!SatBarTable</vt:lpstr>
      <vt:lpstr>Template!SatBarTable</vt:lpstr>
      <vt:lpstr>'02.26-03.03'!SatFood</vt:lpstr>
      <vt:lpstr>'Final Look'!SatFood</vt:lpstr>
      <vt:lpstr>Sample!SatFood</vt:lpstr>
      <vt:lpstr>Template!SatFood</vt:lpstr>
      <vt:lpstr>'02.26-03.03'!SatFoodTable</vt:lpstr>
      <vt:lpstr>'Final Look'!SatFoodTable</vt:lpstr>
      <vt:lpstr>Sample!SatFoodTable</vt:lpstr>
      <vt:lpstr>Template!SatFoodTable</vt:lpstr>
      <vt:lpstr>'02.26-03.03'!SatFoodTipout</vt:lpstr>
      <vt:lpstr>'Final Look'!SatFoodTipout</vt:lpstr>
      <vt:lpstr>Sample!SatFoodTipout</vt:lpstr>
      <vt:lpstr>Template!SatFoodTipout</vt:lpstr>
      <vt:lpstr>'02.26-03.03'!SatHostTable</vt:lpstr>
      <vt:lpstr>'Final Look'!SatHostTable</vt:lpstr>
      <vt:lpstr>Sample!SatHostTable</vt:lpstr>
      <vt:lpstr>Template!SatHostTable</vt:lpstr>
      <vt:lpstr>'02.26-03.03'!SatHostTipout</vt:lpstr>
      <vt:lpstr>'Final Look'!SatHostTipout</vt:lpstr>
      <vt:lpstr>Sample!SatHostTipout</vt:lpstr>
      <vt:lpstr>Template!SatHostTipout</vt:lpstr>
      <vt:lpstr>'02.26-03.03'!SatHours</vt:lpstr>
      <vt:lpstr>'Final Look'!SatHours</vt:lpstr>
      <vt:lpstr>Sample!SatHours</vt:lpstr>
      <vt:lpstr>Template!SatHours</vt:lpstr>
      <vt:lpstr>'02.26-03.03'!SatJobCode</vt:lpstr>
      <vt:lpstr>'Final Look'!SatJobCode</vt:lpstr>
      <vt:lpstr>Sample!SatJobCode</vt:lpstr>
      <vt:lpstr>Template!SatJobCode</vt:lpstr>
      <vt:lpstr>'02.26-03.03'!SatNames</vt:lpstr>
      <vt:lpstr>'Final Look'!SatNames</vt:lpstr>
      <vt:lpstr>Sample!SatNames</vt:lpstr>
      <vt:lpstr>Template!SatNames</vt:lpstr>
      <vt:lpstr>'02.26-03.03'!SatNetTipout</vt:lpstr>
      <vt:lpstr>'Final Look'!SatNetTipout</vt:lpstr>
      <vt:lpstr>Sample!SatNetTipout</vt:lpstr>
      <vt:lpstr>Template!SatNetTipout</vt:lpstr>
      <vt:lpstr>'02.26-03.03'!SatTakeHome</vt:lpstr>
      <vt:lpstr>'Final Look'!SatTakeHome</vt:lpstr>
      <vt:lpstr>Sample!SatTakeHome</vt:lpstr>
      <vt:lpstr>Template!SatTakeHome</vt:lpstr>
      <vt:lpstr>'02.26-03.03'!SatTips</vt:lpstr>
      <vt:lpstr>'Final Look'!SatTips</vt:lpstr>
      <vt:lpstr>Sample!SatTips</vt:lpstr>
      <vt:lpstr>Template!SatTips</vt:lpstr>
      <vt:lpstr>'02.26-03.03'!SatTotal</vt:lpstr>
      <vt:lpstr>'Final Look'!SatTotal</vt:lpstr>
      <vt:lpstr>Sample!SatTotal</vt:lpstr>
      <vt:lpstr>Template!SatTotal</vt:lpstr>
      <vt:lpstr>'02.26-03.03'!Saturday</vt:lpstr>
      <vt:lpstr>'Final Look'!Saturday</vt:lpstr>
      <vt:lpstr>Sample!Saturday</vt:lpstr>
      <vt:lpstr>Template!Saturday</vt:lpstr>
      <vt:lpstr>'02.26-03.03'!SunAlcohol</vt:lpstr>
      <vt:lpstr>'Final Look'!SunAlcohol</vt:lpstr>
      <vt:lpstr>Sample!SunAlcohol</vt:lpstr>
      <vt:lpstr>Template!SunAlcohol</vt:lpstr>
      <vt:lpstr>'02.26-03.03'!SunAlcTipout</vt:lpstr>
      <vt:lpstr>'Final Look'!SunAlcTipout</vt:lpstr>
      <vt:lpstr>Sample!SunAlcTipout</vt:lpstr>
      <vt:lpstr>Template!SunAlcTipout</vt:lpstr>
      <vt:lpstr>'02.26-03.03'!SunAMPM</vt:lpstr>
      <vt:lpstr>'Final Look'!SunAMPM</vt:lpstr>
      <vt:lpstr>Sample!SunAMPM</vt:lpstr>
      <vt:lpstr>Template!SunAMPM</vt:lpstr>
      <vt:lpstr>'02.26-03.03'!SunBarTable</vt:lpstr>
      <vt:lpstr>'Final Look'!SunBarTable</vt:lpstr>
      <vt:lpstr>Sample!SunBarTable</vt:lpstr>
      <vt:lpstr>Template!SunBarTable</vt:lpstr>
      <vt:lpstr>'02.26-03.03'!Sunday</vt:lpstr>
      <vt:lpstr>'Final Look'!Sunday</vt:lpstr>
      <vt:lpstr>Sample!Sunday</vt:lpstr>
      <vt:lpstr>Template!Sunday</vt:lpstr>
      <vt:lpstr>'02.26-03.03'!SunFood</vt:lpstr>
      <vt:lpstr>'Final Look'!SunFood</vt:lpstr>
      <vt:lpstr>Sample!SunFood</vt:lpstr>
      <vt:lpstr>Template!SunFood</vt:lpstr>
      <vt:lpstr>'02.26-03.03'!SunFoodTable</vt:lpstr>
      <vt:lpstr>'Final Look'!SunFoodTable</vt:lpstr>
      <vt:lpstr>Sample!SunFoodTable</vt:lpstr>
      <vt:lpstr>Template!SunFoodTable</vt:lpstr>
      <vt:lpstr>'02.26-03.03'!SunFoodTipout</vt:lpstr>
      <vt:lpstr>'Final Look'!SunFoodTipout</vt:lpstr>
      <vt:lpstr>Sample!SunFoodTipout</vt:lpstr>
      <vt:lpstr>Template!SunFoodTipout</vt:lpstr>
      <vt:lpstr>'02.26-03.03'!SunHostTable</vt:lpstr>
      <vt:lpstr>'Final Look'!SunHostTable</vt:lpstr>
      <vt:lpstr>Sample!SunHostTable</vt:lpstr>
      <vt:lpstr>Template!SunHostTable</vt:lpstr>
      <vt:lpstr>'02.26-03.03'!SunHostTipout</vt:lpstr>
      <vt:lpstr>'Final Look'!SunHostTipout</vt:lpstr>
      <vt:lpstr>Sample!SunHostTipout</vt:lpstr>
      <vt:lpstr>Template!SunHostTipout</vt:lpstr>
      <vt:lpstr>'02.26-03.03'!SunHours</vt:lpstr>
      <vt:lpstr>'Final Look'!SunHours</vt:lpstr>
      <vt:lpstr>Sample!SunHours</vt:lpstr>
      <vt:lpstr>Template!SunHours</vt:lpstr>
      <vt:lpstr>'02.26-03.03'!SunJobCode</vt:lpstr>
      <vt:lpstr>'Final Look'!SunJobCode</vt:lpstr>
      <vt:lpstr>Sample!SunJobCode</vt:lpstr>
      <vt:lpstr>Template!SunJobCode</vt:lpstr>
      <vt:lpstr>'02.26-03.03'!SunNames</vt:lpstr>
      <vt:lpstr>'Final Look'!SunNames</vt:lpstr>
      <vt:lpstr>Sample!SunNames</vt:lpstr>
      <vt:lpstr>Template!SunNames</vt:lpstr>
      <vt:lpstr>'02.26-03.03'!SunNetTipout</vt:lpstr>
      <vt:lpstr>'Final Look'!SunNetTipout</vt:lpstr>
      <vt:lpstr>Sample!SunNetTipout</vt:lpstr>
      <vt:lpstr>Template!SunNetTipout</vt:lpstr>
      <vt:lpstr>'02.26-03.03'!SunTakeHome</vt:lpstr>
      <vt:lpstr>'Final Look'!SunTakeHome</vt:lpstr>
      <vt:lpstr>Sample!SunTakeHome</vt:lpstr>
      <vt:lpstr>Template!SunTakeHome</vt:lpstr>
      <vt:lpstr>'02.26-03.03'!SunTips</vt:lpstr>
      <vt:lpstr>'Final Look'!SunTips</vt:lpstr>
      <vt:lpstr>Sample!SunTips</vt:lpstr>
      <vt:lpstr>Template!SunTips</vt:lpstr>
      <vt:lpstr>'02.26-03.03'!SunTotal</vt:lpstr>
      <vt:lpstr>'Final Look'!SunTotal</vt:lpstr>
      <vt:lpstr>Sample!SunTotal</vt:lpstr>
      <vt:lpstr>Template!SunTotal</vt:lpstr>
      <vt:lpstr>'02.26-03.03'!ThursAlcohol</vt:lpstr>
      <vt:lpstr>'Final Look'!ThursAlcohol</vt:lpstr>
      <vt:lpstr>Sample!ThursAlcohol</vt:lpstr>
      <vt:lpstr>Template!ThursAlcohol</vt:lpstr>
      <vt:lpstr>'02.26-03.03'!ThursAlcTipout</vt:lpstr>
      <vt:lpstr>'Final Look'!ThursAlcTipout</vt:lpstr>
      <vt:lpstr>Sample!ThursAlcTipout</vt:lpstr>
      <vt:lpstr>Template!ThursAlcTipout</vt:lpstr>
      <vt:lpstr>'02.26-03.03'!ThursAMPM</vt:lpstr>
      <vt:lpstr>'Final Look'!ThursAMPM</vt:lpstr>
      <vt:lpstr>Sample!ThursAMPM</vt:lpstr>
      <vt:lpstr>Template!ThursAMPM</vt:lpstr>
      <vt:lpstr>'02.26-03.03'!ThursBarTable</vt:lpstr>
      <vt:lpstr>'Final Look'!ThursBarTable</vt:lpstr>
      <vt:lpstr>Sample!ThursBarTable</vt:lpstr>
      <vt:lpstr>Template!ThursBarTable</vt:lpstr>
      <vt:lpstr>'02.26-03.03'!Thursday</vt:lpstr>
      <vt:lpstr>'Final Look'!Thursday</vt:lpstr>
      <vt:lpstr>Sample!Thursday</vt:lpstr>
      <vt:lpstr>Template!Thursday</vt:lpstr>
      <vt:lpstr>'02.26-03.03'!ThursFood</vt:lpstr>
      <vt:lpstr>'Final Look'!ThursFood</vt:lpstr>
      <vt:lpstr>Sample!ThursFood</vt:lpstr>
      <vt:lpstr>Template!ThursFood</vt:lpstr>
      <vt:lpstr>'02.26-03.03'!ThursFoodTable</vt:lpstr>
      <vt:lpstr>'Final Look'!ThursFoodTable</vt:lpstr>
      <vt:lpstr>Sample!ThursFoodTable</vt:lpstr>
      <vt:lpstr>Template!ThursFoodTable</vt:lpstr>
      <vt:lpstr>'02.26-03.03'!ThursFoodTipout</vt:lpstr>
      <vt:lpstr>'Final Look'!ThursFoodTipout</vt:lpstr>
      <vt:lpstr>Sample!ThursFoodTipout</vt:lpstr>
      <vt:lpstr>Template!ThursFoodTipout</vt:lpstr>
      <vt:lpstr>'02.26-03.03'!ThursHostTable</vt:lpstr>
      <vt:lpstr>'Final Look'!ThursHostTable</vt:lpstr>
      <vt:lpstr>Sample!ThursHostTable</vt:lpstr>
      <vt:lpstr>Template!ThursHostTable</vt:lpstr>
      <vt:lpstr>'02.26-03.03'!ThursHostTipout</vt:lpstr>
      <vt:lpstr>'Final Look'!ThursHostTipout</vt:lpstr>
      <vt:lpstr>Sample!ThursHostTipout</vt:lpstr>
      <vt:lpstr>Template!ThursHostTipout</vt:lpstr>
      <vt:lpstr>'02.26-03.03'!ThursHours</vt:lpstr>
      <vt:lpstr>'Final Look'!ThursHours</vt:lpstr>
      <vt:lpstr>Sample!ThursHours</vt:lpstr>
      <vt:lpstr>Template!ThursHours</vt:lpstr>
      <vt:lpstr>'02.26-03.03'!ThursJobCode</vt:lpstr>
      <vt:lpstr>'Final Look'!ThursJobCode</vt:lpstr>
      <vt:lpstr>Sample!ThursJobCode</vt:lpstr>
      <vt:lpstr>Template!ThursJobCode</vt:lpstr>
      <vt:lpstr>'02.26-03.03'!ThursNames</vt:lpstr>
      <vt:lpstr>'Final Look'!ThursNames</vt:lpstr>
      <vt:lpstr>Sample!ThursNames</vt:lpstr>
      <vt:lpstr>Template!ThursNames</vt:lpstr>
      <vt:lpstr>'02.26-03.03'!ThursNetTipout</vt:lpstr>
      <vt:lpstr>'Final Look'!ThursNetTipout</vt:lpstr>
      <vt:lpstr>Sample!ThursNetTipout</vt:lpstr>
      <vt:lpstr>Template!ThursNetTipout</vt:lpstr>
      <vt:lpstr>'02.26-03.03'!ThursTakeHome</vt:lpstr>
      <vt:lpstr>'Final Look'!ThursTakeHome</vt:lpstr>
      <vt:lpstr>Sample!ThursTakeHome</vt:lpstr>
      <vt:lpstr>Template!ThursTakeHome</vt:lpstr>
      <vt:lpstr>'02.26-03.03'!ThursTips</vt:lpstr>
      <vt:lpstr>'Final Look'!ThursTips</vt:lpstr>
      <vt:lpstr>Sample!ThursTips</vt:lpstr>
      <vt:lpstr>Template!ThursTips</vt:lpstr>
      <vt:lpstr>'02.26-03.03'!ThursTotal</vt:lpstr>
      <vt:lpstr>'Final Look'!ThursTotal</vt:lpstr>
      <vt:lpstr>Sample!ThursTotal</vt:lpstr>
      <vt:lpstr>Template!ThursTotal</vt:lpstr>
      <vt:lpstr>'02.26-03.03'!TuesAlcohol</vt:lpstr>
      <vt:lpstr>'Final Look'!TuesAlcohol</vt:lpstr>
      <vt:lpstr>Sample!TuesAlcohol</vt:lpstr>
      <vt:lpstr>Template!TuesAlcohol</vt:lpstr>
      <vt:lpstr>'02.26-03.03'!TuesAlcTipout</vt:lpstr>
      <vt:lpstr>'Final Look'!TuesAlcTipout</vt:lpstr>
      <vt:lpstr>Sample!TuesAlcTipout</vt:lpstr>
      <vt:lpstr>Template!TuesAlcTipout</vt:lpstr>
      <vt:lpstr>'02.26-03.03'!TuesAMPM</vt:lpstr>
      <vt:lpstr>'Final Look'!TuesAMPM</vt:lpstr>
      <vt:lpstr>Sample!TuesAMPM</vt:lpstr>
      <vt:lpstr>Template!TuesAMPM</vt:lpstr>
      <vt:lpstr>'02.26-03.03'!TuesBarTable</vt:lpstr>
      <vt:lpstr>'Final Look'!TuesBarTable</vt:lpstr>
      <vt:lpstr>Sample!TuesBarTable</vt:lpstr>
      <vt:lpstr>Template!TuesBarTable</vt:lpstr>
      <vt:lpstr>'02.26-03.03'!Tuesday</vt:lpstr>
      <vt:lpstr>'Final Look'!Tuesday</vt:lpstr>
      <vt:lpstr>Sample!Tuesday</vt:lpstr>
      <vt:lpstr>Template!Tuesday</vt:lpstr>
      <vt:lpstr>'02.26-03.03'!TuesFood</vt:lpstr>
      <vt:lpstr>'Final Look'!TuesFood</vt:lpstr>
      <vt:lpstr>Sample!TuesFood</vt:lpstr>
      <vt:lpstr>Template!TuesFood</vt:lpstr>
      <vt:lpstr>'02.26-03.03'!TuesFoodTable</vt:lpstr>
      <vt:lpstr>'Final Look'!TuesFoodTable</vt:lpstr>
      <vt:lpstr>Sample!TuesFoodTable</vt:lpstr>
      <vt:lpstr>Template!TuesFoodTable</vt:lpstr>
      <vt:lpstr>'02.26-03.03'!TuesFoodTipout</vt:lpstr>
      <vt:lpstr>'Final Look'!TuesFoodTipout</vt:lpstr>
      <vt:lpstr>Sample!TuesFoodTipout</vt:lpstr>
      <vt:lpstr>Template!TuesFoodTipout</vt:lpstr>
      <vt:lpstr>'02.26-03.03'!TuesHostTable</vt:lpstr>
      <vt:lpstr>'Final Look'!TuesHostTable</vt:lpstr>
      <vt:lpstr>Sample!TuesHostTable</vt:lpstr>
      <vt:lpstr>Template!TuesHostTable</vt:lpstr>
      <vt:lpstr>'02.26-03.03'!TuesHostTipout</vt:lpstr>
      <vt:lpstr>'Final Look'!TuesHostTipout</vt:lpstr>
      <vt:lpstr>Sample!TuesHostTipout</vt:lpstr>
      <vt:lpstr>Template!TuesHostTipout</vt:lpstr>
      <vt:lpstr>'02.26-03.03'!TuesHours</vt:lpstr>
      <vt:lpstr>'Final Look'!TuesHours</vt:lpstr>
      <vt:lpstr>Sample!TuesHours</vt:lpstr>
      <vt:lpstr>Template!TuesHours</vt:lpstr>
      <vt:lpstr>'02.26-03.03'!TuesJobCode</vt:lpstr>
      <vt:lpstr>'Final Look'!TuesJobCode</vt:lpstr>
      <vt:lpstr>Sample!TuesJobCode</vt:lpstr>
      <vt:lpstr>Template!TuesJobCode</vt:lpstr>
      <vt:lpstr>'02.26-03.03'!TuesName</vt:lpstr>
      <vt:lpstr>'Final Look'!TuesName</vt:lpstr>
      <vt:lpstr>Sample!TuesName</vt:lpstr>
      <vt:lpstr>Template!TuesName</vt:lpstr>
      <vt:lpstr>'02.26-03.03'!TuesNames</vt:lpstr>
      <vt:lpstr>'Final Look'!TuesNames</vt:lpstr>
      <vt:lpstr>Sample!TuesNames</vt:lpstr>
      <vt:lpstr>Template!TuesNames</vt:lpstr>
      <vt:lpstr>'02.26-03.03'!TuesNetTipout</vt:lpstr>
      <vt:lpstr>'Final Look'!TuesNetTipout</vt:lpstr>
      <vt:lpstr>Sample!TuesNetTipout</vt:lpstr>
      <vt:lpstr>Template!TuesNetTipout</vt:lpstr>
      <vt:lpstr>'02.26-03.03'!TuesTakeHome</vt:lpstr>
      <vt:lpstr>'Final Look'!TuesTakeHome</vt:lpstr>
      <vt:lpstr>Sample!TuesTakeHome</vt:lpstr>
      <vt:lpstr>Template!TuesTakeHome</vt:lpstr>
      <vt:lpstr>'02.26-03.03'!TuesTips</vt:lpstr>
      <vt:lpstr>'Final Look'!TuesTips</vt:lpstr>
      <vt:lpstr>Sample!TuesTips</vt:lpstr>
      <vt:lpstr>Template!TuesTips</vt:lpstr>
      <vt:lpstr>'02.26-03.03'!TuesTotal</vt:lpstr>
      <vt:lpstr>'Final Look'!TuesTotal</vt:lpstr>
      <vt:lpstr>Sample!TuesTotal</vt:lpstr>
      <vt:lpstr>Template!TuesTotal</vt:lpstr>
      <vt:lpstr>'02.26-03.03'!WedAlcohol</vt:lpstr>
      <vt:lpstr>'Final Look'!WedAlcohol</vt:lpstr>
      <vt:lpstr>Sample!WedAlcohol</vt:lpstr>
      <vt:lpstr>Template!WedAlcohol</vt:lpstr>
      <vt:lpstr>'02.26-03.03'!WedAlcTipout</vt:lpstr>
      <vt:lpstr>'Final Look'!WedAlcTipout</vt:lpstr>
      <vt:lpstr>Sample!WedAlcTipout</vt:lpstr>
      <vt:lpstr>Template!WedAlcTipout</vt:lpstr>
      <vt:lpstr>'02.26-03.03'!WedAMPM</vt:lpstr>
      <vt:lpstr>'Final Look'!WedAMPM</vt:lpstr>
      <vt:lpstr>Sample!WedAMPM</vt:lpstr>
      <vt:lpstr>Template!WedAMPM</vt:lpstr>
      <vt:lpstr>'02.26-03.03'!WedBarTable</vt:lpstr>
      <vt:lpstr>'Final Look'!WedBarTable</vt:lpstr>
      <vt:lpstr>Sample!WedBarTable</vt:lpstr>
      <vt:lpstr>Template!WedBarTable</vt:lpstr>
      <vt:lpstr>'02.26-03.03'!WedFood</vt:lpstr>
      <vt:lpstr>'Final Look'!WedFood</vt:lpstr>
      <vt:lpstr>Sample!WedFood</vt:lpstr>
      <vt:lpstr>Template!WedFood</vt:lpstr>
      <vt:lpstr>'02.26-03.03'!WedFoodTable</vt:lpstr>
      <vt:lpstr>'Final Look'!WedFoodTable</vt:lpstr>
      <vt:lpstr>Sample!WedFoodTable</vt:lpstr>
      <vt:lpstr>Template!WedFoodTable</vt:lpstr>
      <vt:lpstr>'02.26-03.03'!WedFoodTipout</vt:lpstr>
      <vt:lpstr>'Final Look'!WedFoodTipout</vt:lpstr>
      <vt:lpstr>Sample!WedFoodTipout</vt:lpstr>
      <vt:lpstr>Template!WedFoodTipout</vt:lpstr>
      <vt:lpstr>'02.26-03.03'!WedHostTable</vt:lpstr>
      <vt:lpstr>'Final Look'!WedHostTable</vt:lpstr>
      <vt:lpstr>Sample!WedHostTable</vt:lpstr>
      <vt:lpstr>Template!WedHostTable</vt:lpstr>
      <vt:lpstr>'02.26-03.03'!WedHostTipout</vt:lpstr>
      <vt:lpstr>'Final Look'!WedHostTipout</vt:lpstr>
      <vt:lpstr>Sample!WedHostTipout</vt:lpstr>
      <vt:lpstr>Template!WedHostTipout</vt:lpstr>
      <vt:lpstr>'02.26-03.03'!WedHours</vt:lpstr>
      <vt:lpstr>'Final Look'!WedHours</vt:lpstr>
      <vt:lpstr>Sample!WedHours</vt:lpstr>
      <vt:lpstr>Template!WedHours</vt:lpstr>
      <vt:lpstr>'02.26-03.03'!WedJobCode</vt:lpstr>
      <vt:lpstr>'Final Look'!WedJobCode</vt:lpstr>
      <vt:lpstr>Sample!WedJobCode</vt:lpstr>
      <vt:lpstr>Template!WedJobCode</vt:lpstr>
      <vt:lpstr>'02.26-03.03'!WedNames</vt:lpstr>
      <vt:lpstr>'Final Look'!WedNames</vt:lpstr>
      <vt:lpstr>Sample!WedNames</vt:lpstr>
      <vt:lpstr>Template!WedNames</vt:lpstr>
      <vt:lpstr>'02.26-03.03'!Wednesday</vt:lpstr>
      <vt:lpstr>'Final Look'!Wednesday</vt:lpstr>
      <vt:lpstr>Sample!Wednesday</vt:lpstr>
      <vt:lpstr>Template!Wednesday</vt:lpstr>
      <vt:lpstr>'02.26-03.03'!WedNetTipout</vt:lpstr>
      <vt:lpstr>'Final Look'!WedNetTipout</vt:lpstr>
      <vt:lpstr>Sample!WedNetTipout</vt:lpstr>
      <vt:lpstr>Template!WedNetTipout</vt:lpstr>
      <vt:lpstr>'02.26-03.03'!WedTakeHome</vt:lpstr>
      <vt:lpstr>'Final Look'!WedTakeHome</vt:lpstr>
      <vt:lpstr>Sample!WedTakeHome</vt:lpstr>
      <vt:lpstr>Template!WedTakeHome</vt:lpstr>
      <vt:lpstr>'02.26-03.03'!WedTips</vt:lpstr>
      <vt:lpstr>'Final Look'!WedTips</vt:lpstr>
      <vt:lpstr>Sample!WedTips</vt:lpstr>
      <vt:lpstr>Template!WedTips</vt:lpstr>
      <vt:lpstr>'02.26-03.03'!WedTotal</vt:lpstr>
      <vt:lpstr>'Final Look'!WedTotal</vt:lpstr>
      <vt:lpstr>Sample!WedTotal</vt:lpstr>
      <vt:lpstr>Template!WedTotal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Jeff Nelson</cp:lastModifiedBy>
  <cp:revision/>
  <dcterms:created xsi:type="dcterms:W3CDTF">2024-02-22T18:39:25Z</dcterms:created>
  <dcterms:modified xsi:type="dcterms:W3CDTF">2024-10-13T22:59:22Z</dcterms:modified>
  <cp:category/>
  <cp:contentStatus/>
</cp:coreProperties>
</file>